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bRES_TMPL\"/>
    </mc:Choice>
  </mc:AlternateContent>
  <xr:revisionPtr revIDLastSave="0" documentId="13_ncr:1_{24027A87-5CF7-47EB-878F-0303A1020081}" xr6:coauthVersionLast="45" xr6:coauthVersionMax="45" xr10:uidLastSave="{00000000-0000-0000-0000-000000000000}"/>
  <bookViews>
    <workbookView xWindow="0" yWindow="1650" windowWidth="28800" windowHeight="15555" firstSheet="4" activeTab="4" xr2:uid="{00000000-000D-0000-FFFF-FFFF00000000}"/>
  </bookViews>
  <sheets>
    <sheet name="README" sheetId="18" r:id="rId1"/>
    <sheet name="Availability" sheetId="6" r:id="rId2"/>
    <sheet name="Generalized Data" sheetId="7" r:id="rId3"/>
    <sheet name="Heat Pumps ETRI" sheetId="23" r:id="rId4"/>
    <sheet name="RSD_PRandCOM" sheetId="2" r:id="rId5"/>
    <sheet name="RSDTechsCE" sheetId="38" r:id="rId6"/>
    <sheet name="RSD_H&amp;C" sheetId="36" r:id="rId7"/>
    <sheet name="RSD_DistrictHeating" sheetId="39" r:id="rId8"/>
    <sheet name="COM_PRandCOM" sheetId="35" r:id="rId9"/>
    <sheet name="RSD_RHDH" sheetId="16" r:id="rId10"/>
    <sheet name="RSD_RHFL" sheetId="24" r:id="rId11"/>
    <sheet name="RSD_RHSD" sheetId="26" r:id="rId12"/>
    <sheet name="COM_Other" sheetId="19" r:id="rId13"/>
    <sheet name="COM_HO" sheetId="8" r:id="rId14"/>
    <sheet name="COM_HR" sheetId="30" r:id="rId15"/>
    <sheet name="COM_SR" sheetId="31" r:id="rId16"/>
    <sheet name="COM_SL" sheetId="32" r:id="rId17"/>
    <sheet name="COM_SS" sheetId="33" r:id="rId18"/>
    <sheet name="COM_OF" sheetId="34" r:id="rId19"/>
  </sheets>
  <definedNames>
    <definedName name="_xlnm._FilterDatabase" localSheetId="3" hidden="1">'Heat Pumps ETRI'!$B$1:$AB$29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8" l="1"/>
  <c r="H129" i="36" l="1"/>
  <c r="H172" i="36" s="1"/>
  <c r="L120" i="36"/>
  <c r="L163" i="36" s="1"/>
  <c r="L116" i="36"/>
  <c r="L159" i="36" s="1"/>
  <c r="N111" i="36"/>
  <c r="N154" i="36" s="1"/>
  <c r="L109" i="36"/>
  <c r="L152" i="36" s="1"/>
  <c r="L104" i="36"/>
  <c r="L147" i="36" s="1"/>
  <c r="N103" i="36"/>
  <c r="N146" i="36" s="1"/>
  <c r="H100" i="36"/>
  <c r="H143" i="36" s="1"/>
  <c r="N87" i="36"/>
  <c r="N130" i="36" s="1"/>
  <c r="N173" i="36" s="1"/>
  <c r="M87" i="36"/>
  <c r="M130" i="36" s="1"/>
  <c r="M173" i="36" s="1"/>
  <c r="L87" i="36"/>
  <c r="L130" i="36" s="1"/>
  <c r="L173" i="36" s="1"/>
  <c r="J87" i="36"/>
  <c r="J130" i="36" s="1"/>
  <c r="J173" i="36" s="1"/>
  <c r="H87" i="36"/>
  <c r="H130" i="36" s="1"/>
  <c r="H173" i="36" s="1"/>
  <c r="N86" i="36"/>
  <c r="N129" i="36" s="1"/>
  <c r="N172" i="36" s="1"/>
  <c r="M86" i="36"/>
  <c r="M129" i="36" s="1"/>
  <c r="M172" i="36" s="1"/>
  <c r="L86" i="36"/>
  <c r="L129" i="36" s="1"/>
  <c r="L172" i="36" s="1"/>
  <c r="J86" i="36"/>
  <c r="J129" i="36" s="1"/>
  <c r="J172" i="36" s="1"/>
  <c r="H86" i="36"/>
  <c r="N85" i="36"/>
  <c r="N128" i="36" s="1"/>
  <c r="N171" i="36" s="1"/>
  <c r="M85" i="36"/>
  <c r="M128" i="36" s="1"/>
  <c r="M171" i="36" s="1"/>
  <c r="L85" i="36"/>
  <c r="L128" i="36" s="1"/>
  <c r="L171" i="36" s="1"/>
  <c r="K85" i="36"/>
  <c r="K128" i="36" s="1"/>
  <c r="K171" i="36" s="1"/>
  <c r="J85" i="36"/>
  <c r="J128" i="36" s="1"/>
  <c r="J171" i="36" s="1"/>
  <c r="I85" i="36"/>
  <c r="I128" i="36" s="1"/>
  <c r="I171" i="36" s="1"/>
  <c r="H85" i="36"/>
  <c r="H128" i="36" s="1"/>
  <c r="H171" i="36" s="1"/>
  <c r="N84" i="36"/>
  <c r="N127" i="36" s="1"/>
  <c r="N170" i="36" s="1"/>
  <c r="M84" i="36"/>
  <c r="M127" i="36" s="1"/>
  <c r="M170" i="36" s="1"/>
  <c r="L84" i="36"/>
  <c r="L127" i="36" s="1"/>
  <c r="L170" i="36" s="1"/>
  <c r="K84" i="36"/>
  <c r="K127" i="36" s="1"/>
  <c r="K170" i="36" s="1"/>
  <c r="J84" i="36"/>
  <c r="J127" i="36" s="1"/>
  <c r="J170" i="36" s="1"/>
  <c r="I84" i="36"/>
  <c r="I127" i="36" s="1"/>
  <c r="I170" i="36" s="1"/>
  <c r="H84" i="36"/>
  <c r="H127" i="36" s="1"/>
  <c r="H170" i="36" s="1"/>
  <c r="N83" i="36"/>
  <c r="N126" i="36" s="1"/>
  <c r="N169" i="36" s="1"/>
  <c r="M83" i="36"/>
  <c r="M126" i="36" s="1"/>
  <c r="M169" i="36" s="1"/>
  <c r="L83" i="36"/>
  <c r="L126" i="36" s="1"/>
  <c r="L169" i="36" s="1"/>
  <c r="K83" i="36"/>
  <c r="K126" i="36" s="1"/>
  <c r="K169" i="36" s="1"/>
  <c r="J83" i="36"/>
  <c r="J126" i="36" s="1"/>
  <c r="J169" i="36" s="1"/>
  <c r="I83" i="36"/>
  <c r="I126" i="36" s="1"/>
  <c r="I169" i="36" s="1"/>
  <c r="H83" i="36"/>
  <c r="H126" i="36" s="1"/>
  <c r="H169" i="36" s="1"/>
  <c r="N82" i="36"/>
  <c r="N125" i="36" s="1"/>
  <c r="N168" i="36" s="1"/>
  <c r="M82" i="36"/>
  <c r="M125" i="36" s="1"/>
  <c r="M168" i="36" s="1"/>
  <c r="L82" i="36"/>
  <c r="L125" i="36" s="1"/>
  <c r="L168" i="36" s="1"/>
  <c r="K82" i="36"/>
  <c r="K125" i="36" s="1"/>
  <c r="K168" i="36" s="1"/>
  <c r="J82" i="36"/>
  <c r="J125" i="36" s="1"/>
  <c r="J168" i="36" s="1"/>
  <c r="I82" i="36"/>
  <c r="I125" i="36" s="1"/>
  <c r="I168" i="36" s="1"/>
  <c r="H82" i="36"/>
  <c r="H125" i="36" s="1"/>
  <c r="H168" i="36" s="1"/>
  <c r="N81" i="36"/>
  <c r="N124" i="36" s="1"/>
  <c r="N167" i="36" s="1"/>
  <c r="M81" i="36"/>
  <c r="M124" i="36" s="1"/>
  <c r="M167" i="36" s="1"/>
  <c r="L81" i="36"/>
  <c r="L124" i="36" s="1"/>
  <c r="L167" i="36" s="1"/>
  <c r="K81" i="36"/>
  <c r="K124" i="36" s="1"/>
  <c r="K167" i="36" s="1"/>
  <c r="J81" i="36"/>
  <c r="J124" i="36" s="1"/>
  <c r="J167" i="36" s="1"/>
  <c r="I81" i="36"/>
  <c r="I124" i="36" s="1"/>
  <c r="I167" i="36" s="1"/>
  <c r="H81" i="36"/>
  <c r="H124" i="36" s="1"/>
  <c r="H167" i="36" s="1"/>
  <c r="N80" i="36"/>
  <c r="N123" i="36" s="1"/>
  <c r="N166" i="36" s="1"/>
  <c r="M80" i="36"/>
  <c r="M123" i="36" s="1"/>
  <c r="M166" i="36" s="1"/>
  <c r="L80" i="36"/>
  <c r="L123" i="36" s="1"/>
  <c r="L166" i="36" s="1"/>
  <c r="K80" i="36"/>
  <c r="K123" i="36" s="1"/>
  <c r="K166" i="36" s="1"/>
  <c r="J80" i="36"/>
  <c r="J123" i="36" s="1"/>
  <c r="J166" i="36" s="1"/>
  <c r="I80" i="36"/>
  <c r="I123" i="36" s="1"/>
  <c r="I166" i="36" s="1"/>
  <c r="H80" i="36"/>
  <c r="H123" i="36" s="1"/>
  <c r="H166" i="36" s="1"/>
  <c r="N79" i="36"/>
  <c r="N122" i="36" s="1"/>
  <c r="N165" i="36" s="1"/>
  <c r="M79" i="36"/>
  <c r="M122" i="36" s="1"/>
  <c r="M165" i="36" s="1"/>
  <c r="L79" i="36"/>
  <c r="L122" i="36" s="1"/>
  <c r="L165" i="36" s="1"/>
  <c r="K79" i="36"/>
  <c r="K122" i="36" s="1"/>
  <c r="K165" i="36" s="1"/>
  <c r="J79" i="36"/>
  <c r="J122" i="36" s="1"/>
  <c r="J165" i="36" s="1"/>
  <c r="I79" i="36"/>
  <c r="I122" i="36" s="1"/>
  <c r="I165" i="36" s="1"/>
  <c r="H79" i="36"/>
  <c r="H122" i="36" s="1"/>
  <c r="H165" i="36" s="1"/>
  <c r="N78" i="36"/>
  <c r="N121" i="36" s="1"/>
  <c r="N164" i="36" s="1"/>
  <c r="M78" i="36"/>
  <c r="M121" i="36" s="1"/>
  <c r="M164" i="36" s="1"/>
  <c r="L78" i="36"/>
  <c r="L121" i="36" s="1"/>
  <c r="L164" i="36" s="1"/>
  <c r="J78" i="36"/>
  <c r="J121" i="36" s="1"/>
  <c r="J164" i="36" s="1"/>
  <c r="I78" i="36"/>
  <c r="I121" i="36" s="1"/>
  <c r="I164" i="36" s="1"/>
  <c r="H78" i="36"/>
  <c r="H121" i="36" s="1"/>
  <c r="H164" i="36" s="1"/>
  <c r="N77" i="36"/>
  <c r="N120" i="36" s="1"/>
  <c r="N163" i="36" s="1"/>
  <c r="M77" i="36"/>
  <c r="M120" i="36" s="1"/>
  <c r="M163" i="36" s="1"/>
  <c r="L77" i="36"/>
  <c r="J77" i="36"/>
  <c r="J120" i="36" s="1"/>
  <c r="J163" i="36" s="1"/>
  <c r="I77" i="36"/>
  <c r="I120" i="36" s="1"/>
  <c r="I163" i="36" s="1"/>
  <c r="H77" i="36"/>
  <c r="H120" i="36" s="1"/>
  <c r="H163" i="36" s="1"/>
  <c r="N76" i="36"/>
  <c r="N119" i="36" s="1"/>
  <c r="N162" i="36" s="1"/>
  <c r="M76" i="36"/>
  <c r="M119" i="36" s="1"/>
  <c r="M162" i="36" s="1"/>
  <c r="L76" i="36"/>
  <c r="L119" i="36" s="1"/>
  <c r="L162" i="36" s="1"/>
  <c r="J76" i="36"/>
  <c r="J119" i="36" s="1"/>
  <c r="J162" i="36" s="1"/>
  <c r="I76" i="36"/>
  <c r="I119" i="36" s="1"/>
  <c r="I162" i="36" s="1"/>
  <c r="H76" i="36"/>
  <c r="H119" i="36" s="1"/>
  <c r="H162" i="36" s="1"/>
  <c r="N75" i="36"/>
  <c r="N118" i="36" s="1"/>
  <c r="N161" i="36" s="1"/>
  <c r="M75" i="36"/>
  <c r="M118" i="36" s="1"/>
  <c r="M161" i="36" s="1"/>
  <c r="L75" i="36"/>
  <c r="L118" i="36" s="1"/>
  <c r="L161" i="36" s="1"/>
  <c r="J75" i="36"/>
  <c r="J118" i="36" s="1"/>
  <c r="J161" i="36" s="1"/>
  <c r="I75" i="36"/>
  <c r="I118" i="36" s="1"/>
  <c r="I161" i="36" s="1"/>
  <c r="H75" i="36"/>
  <c r="H118" i="36" s="1"/>
  <c r="H161" i="36" s="1"/>
  <c r="N74" i="36"/>
  <c r="N117" i="36" s="1"/>
  <c r="N160" i="36" s="1"/>
  <c r="M74" i="36"/>
  <c r="M117" i="36" s="1"/>
  <c r="M160" i="36" s="1"/>
  <c r="L74" i="36"/>
  <c r="L117" i="36" s="1"/>
  <c r="L160" i="36" s="1"/>
  <c r="J74" i="36"/>
  <c r="J117" i="36" s="1"/>
  <c r="J160" i="36" s="1"/>
  <c r="I74" i="36"/>
  <c r="I117" i="36" s="1"/>
  <c r="I160" i="36" s="1"/>
  <c r="H74" i="36"/>
  <c r="H117" i="36" s="1"/>
  <c r="H160" i="36" s="1"/>
  <c r="N73" i="36"/>
  <c r="N116" i="36" s="1"/>
  <c r="N159" i="36" s="1"/>
  <c r="M73" i="36"/>
  <c r="M116" i="36" s="1"/>
  <c r="M159" i="36" s="1"/>
  <c r="L73" i="36"/>
  <c r="J73" i="36"/>
  <c r="J116" i="36" s="1"/>
  <c r="J159" i="36" s="1"/>
  <c r="I73" i="36"/>
  <c r="I116" i="36" s="1"/>
  <c r="I159" i="36" s="1"/>
  <c r="H73" i="36"/>
  <c r="H116" i="36" s="1"/>
  <c r="H159" i="36" s="1"/>
  <c r="N72" i="36"/>
  <c r="N115" i="36" s="1"/>
  <c r="N158" i="36" s="1"/>
  <c r="M72" i="36"/>
  <c r="M115" i="36" s="1"/>
  <c r="M158" i="36" s="1"/>
  <c r="L72" i="36"/>
  <c r="L115" i="36" s="1"/>
  <c r="L158" i="36" s="1"/>
  <c r="J72" i="36"/>
  <c r="J115" i="36" s="1"/>
  <c r="J158" i="36" s="1"/>
  <c r="I72" i="36"/>
  <c r="I115" i="36" s="1"/>
  <c r="I158" i="36" s="1"/>
  <c r="H72" i="36"/>
  <c r="H115" i="36" s="1"/>
  <c r="H158" i="36" s="1"/>
  <c r="N71" i="36"/>
  <c r="N114" i="36" s="1"/>
  <c r="N157" i="36" s="1"/>
  <c r="M71" i="36"/>
  <c r="M114" i="36" s="1"/>
  <c r="M157" i="36" s="1"/>
  <c r="L71" i="36"/>
  <c r="L114" i="36" s="1"/>
  <c r="L157" i="36" s="1"/>
  <c r="J71" i="36"/>
  <c r="J114" i="36" s="1"/>
  <c r="J157" i="36" s="1"/>
  <c r="I71" i="36"/>
  <c r="I114" i="36" s="1"/>
  <c r="I157" i="36" s="1"/>
  <c r="H71" i="36"/>
  <c r="H114" i="36" s="1"/>
  <c r="H157" i="36" s="1"/>
  <c r="N70" i="36"/>
  <c r="N113" i="36" s="1"/>
  <c r="N156" i="36" s="1"/>
  <c r="M70" i="36"/>
  <c r="M113" i="36" s="1"/>
  <c r="M156" i="36" s="1"/>
  <c r="L70" i="36"/>
  <c r="L113" i="36" s="1"/>
  <c r="L156" i="36" s="1"/>
  <c r="J70" i="36"/>
  <c r="J113" i="36" s="1"/>
  <c r="J156" i="36" s="1"/>
  <c r="I70" i="36"/>
  <c r="I113" i="36" s="1"/>
  <c r="I156" i="36" s="1"/>
  <c r="H70" i="36"/>
  <c r="H113" i="36" s="1"/>
  <c r="H156" i="36" s="1"/>
  <c r="N69" i="36"/>
  <c r="N112" i="36" s="1"/>
  <c r="N155" i="36" s="1"/>
  <c r="M69" i="36"/>
  <c r="M112" i="36" s="1"/>
  <c r="M155" i="36" s="1"/>
  <c r="L69" i="36"/>
  <c r="L112" i="36" s="1"/>
  <c r="L155" i="36" s="1"/>
  <c r="J69" i="36"/>
  <c r="J112" i="36" s="1"/>
  <c r="J155" i="36" s="1"/>
  <c r="I69" i="36"/>
  <c r="I112" i="36" s="1"/>
  <c r="I155" i="36" s="1"/>
  <c r="H69" i="36"/>
  <c r="H112" i="36" s="1"/>
  <c r="H155" i="36" s="1"/>
  <c r="N68" i="36"/>
  <c r="M68" i="36"/>
  <c r="M111" i="36" s="1"/>
  <c r="M154" i="36" s="1"/>
  <c r="L68" i="36"/>
  <c r="L111" i="36" s="1"/>
  <c r="L154" i="36" s="1"/>
  <c r="J68" i="36"/>
  <c r="J111" i="36" s="1"/>
  <c r="J154" i="36" s="1"/>
  <c r="I68" i="36"/>
  <c r="I111" i="36" s="1"/>
  <c r="I154" i="36" s="1"/>
  <c r="H68" i="36"/>
  <c r="H111" i="36" s="1"/>
  <c r="H154" i="36" s="1"/>
  <c r="N67" i="36"/>
  <c r="N110" i="36" s="1"/>
  <c r="N153" i="36" s="1"/>
  <c r="M67" i="36"/>
  <c r="M110" i="36" s="1"/>
  <c r="M153" i="36" s="1"/>
  <c r="L67" i="36"/>
  <c r="L110" i="36" s="1"/>
  <c r="L153" i="36" s="1"/>
  <c r="J67" i="36"/>
  <c r="J110" i="36" s="1"/>
  <c r="J153" i="36" s="1"/>
  <c r="I67" i="36"/>
  <c r="I110" i="36" s="1"/>
  <c r="I153" i="36" s="1"/>
  <c r="H67" i="36"/>
  <c r="H110" i="36" s="1"/>
  <c r="H153" i="36" s="1"/>
  <c r="N66" i="36"/>
  <c r="N109" i="36" s="1"/>
  <c r="N152" i="36" s="1"/>
  <c r="M66" i="36"/>
  <c r="M109" i="36" s="1"/>
  <c r="M152" i="36" s="1"/>
  <c r="L66" i="36"/>
  <c r="J66" i="36"/>
  <c r="J109" i="36" s="1"/>
  <c r="J152" i="36" s="1"/>
  <c r="I66" i="36"/>
  <c r="I109" i="36" s="1"/>
  <c r="I152" i="36" s="1"/>
  <c r="H66" i="36"/>
  <c r="H109" i="36" s="1"/>
  <c r="H152" i="36" s="1"/>
  <c r="N65" i="36"/>
  <c r="N108" i="36" s="1"/>
  <c r="N151" i="36" s="1"/>
  <c r="M65" i="36"/>
  <c r="M108" i="36" s="1"/>
  <c r="M151" i="36" s="1"/>
  <c r="L65" i="36"/>
  <c r="L108" i="36" s="1"/>
  <c r="L151" i="36" s="1"/>
  <c r="J65" i="36"/>
  <c r="J108" i="36" s="1"/>
  <c r="J151" i="36" s="1"/>
  <c r="I65" i="36"/>
  <c r="I108" i="36" s="1"/>
  <c r="I151" i="36" s="1"/>
  <c r="H65" i="36"/>
  <c r="H108" i="36" s="1"/>
  <c r="H151" i="36" s="1"/>
  <c r="N64" i="36"/>
  <c r="N107" i="36" s="1"/>
  <c r="N150" i="36" s="1"/>
  <c r="M64" i="36"/>
  <c r="M107" i="36" s="1"/>
  <c r="M150" i="36" s="1"/>
  <c r="L64" i="36"/>
  <c r="L107" i="36" s="1"/>
  <c r="L150" i="36" s="1"/>
  <c r="K64" i="36"/>
  <c r="K107" i="36" s="1"/>
  <c r="K150" i="36" s="1"/>
  <c r="J64" i="36"/>
  <c r="J107" i="36" s="1"/>
  <c r="J150" i="36" s="1"/>
  <c r="I64" i="36"/>
  <c r="I107" i="36" s="1"/>
  <c r="I150" i="36" s="1"/>
  <c r="H64" i="36"/>
  <c r="H107" i="36" s="1"/>
  <c r="H150" i="36" s="1"/>
  <c r="N63" i="36"/>
  <c r="N106" i="36" s="1"/>
  <c r="N149" i="36" s="1"/>
  <c r="M63" i="36"/>
  <c r="M106" i="36" s="1"/>
  <c r="M149" i="36" s="1"/>
  <c r="L63" i="36"/>
  <c r="L106" i="36" s="1"/>
  <c r="L149" i="36" s="1"/>
  <c r="J63" i="36"/>
  <c r="J106" i="36" s="1"/>
  <c r="J149" i="36" s="1"/>
  <c r="I63" i="36"/>
  <c r="I106" i="36" s="1"/>
  <c r="I149" i="36" s="1"/>
  <c r="H63" i="36"/>
  <c r="H106" i="36" s="1"/>
  <c r="H149" i="36" s="1"/>
  <c r="N62" i="36"/>
  <c r="N105" i="36" s="1"/>
  <c r="N148" i="36" s="1"/>
  <c r="M62" i="36"/>
  <c r="M105" i="36" s="1"/>
  <c r="M148" i="36" s="1"/>
  <c r="L62" i="36"/>
  <c r="L105" i="36" s="1"/>
  <c r="L148" i="36" s="1"/>
  <c r="J62" i="36"/>
  <c r="J105" i="36" s="1"/>
  <c r="J148" i="36" s="1"/>
  <c r="I62" i="36"/>
  <c r="I105" i="36" s="1"/>
  <c r="I148" i="36" s="1"/>
  <c r="H62" i="36"/>
  <c r="H105" i="36" s="1"/>
  <c r="H148" i="36" s="1"/>
  <c r="N61" i="36"/>
  <c r="N104" i="36" s="1"/>
  <c r="N147" i="36" s="1"/>
  <c r="M61" i="36"/>
  <c r="M104" i="36" s="1"/>
  <c r="M147" i="36" s="1"/>
  <c r="L61" i="36"/>
  <c r="J61" i="36"/>
  <c r="J104" i="36" s="1"/>
  <c r="J147" i="36" s="1"/>
  <c r="I61" i="36"/>
  <c r="I104" i="36" s="1"/>
  <c r="I147" i="36" s="1"/>
  <c r="H61" i="36"/>
  <c r="H104" i="36" s="1"/>
  <c r="H147" i="36" s="1"/>
  <c r="N60" i="36"/>
  <c r="M60" i="36"/>
  <c r="M103" i="36" s="1"/>
  <c r="M146" i="36" s="1"/>
  <c r="L60" i="36"/>
  <c r="L103" i="36" s="1"/>
  <c r="L146" i="36" s="1"/>
  <c r="K60" i="36"/>
  <c r="K103" i="36" s="1"/>
  <c r="K146" i="36" s="1"/>
  <c r="J60" i="36"/>
  <c r="J103" i="36" s="1"/>
  <c r="J146" i="36" s="1"/>
  <c r="I60" i="36"/>
  <c r="I103" i="36" s="1"/>
  <c r="I146" i="36" s="1"/>
  <c r="H60" i="36"/>
  <c r="H103" i="36" s="1"/>
  <c r="H146" i="36" s="1"/>
  <c r="N59" i="36"/>
  <c r="N102" i="36" s="1"/>
  <c r="N145" i="36" s="1"/>
  <c r="M59" i="36"/>
  <c r="M102" i="36" s="1"/>
  <c r="M145" i="36" s="1"/>
  <c r="L59" i="36"/>
  <c r="L102" i="36" s="1"/>
  <c r="L145" i="36" s="1"/>
  <c r="J59" i="36"/>
  <c r="J102" i="36" s="1"/>
  <c r="J145" i="36" s="1"/>
  <c r="I59" i="36"/>
  <c r="I102" i="36" s="1"/>
  <c r="I145" i="36" s="1"/>
  <c r="H59" i="36"/>
  <c r="H102" i="36" s="1"/>
  <c r="H145" i="36" s="1"/>
  <c r="N58" i="36"/>
  <c r="N101" i="36" s="1"/>
  <c r="N144" i="36" s="1"/>
  <c r="M58" i="36"/>
  <c r="M101" i="36" s="1"/>
  <c r="M144" i="36" s="1"/>
  <c r="L58" i="36"/>
  <c r="L101" i="36" s="1"/>
  <c r="L144" i="36" s="1"/>
  <c r="J58" i="36"/>
  <c r="J101" i="36" s="1"/>
  <c r="J144" i="36" s="1"/>
  <c r="I58" i="36"/>
  <c r="I101" i="36" s="1"/>
  <c r="I144" i="36" s="1"/>
  <c r="H58" i="36"/>
  <c r="H101" i="36" s="1"/>
  <c r="H144" i="36" s="1"/>
  <c r="N57" i="36"/>
  <c r="N100" i="36" s="1"/>
  <c r="N143" i="36" s="1"/>
  <c r="M57" i="36"/>
  <c r="M100" i="36" s="1"/>
  <c r="M143" i="36" s="1"/>
  <c r="L57" i="36"/>
  <c r="L100" i="36" s="1"/>
  <c r="L143" i="36" s="1"/>
  <c r="K57" i="36"/>
  <c r="K100" i="36" s="1"/>
  <c r="K143" i="36" s="1"/>
  <c r="J57" i="36"/>
  <c r="J100" i="36" s="1"/>
  <c r="J143" i="36" s="1"/>
  <c r="I57" i="36"/>
  <c r="I100" i="36" s="1"/>
  <c r="I143" i="36" s="1"/>
  <c r="H57" i="36"/>
  <c r="N56" i="36"/>
  <c r="N99" i="36" s="1"/>
  <c r="N142" i="36" s="1"/>
  <c r="M56" i="36"/>
  <c r="M99" i="36" s="1"/>
  <c r="M142" i="36" s="1"/>
  <c r="L56" i="36"/>
  <c r="L99" i="36" s="1"/>
  <c r="L142" i="36" s="1"/>
  <c r="J56" i="36"/>
  <c r="J99" i="36" s="1"/>
  <c r="J142" i="36" s="1"/>
  <c r="I56" i="36"/>
  <c r="I99" i="36" s="1"/>
  <c r="I142" i="36" s="1"/>
  <c r="H56" i="36"/>
  <c r="H99" i="36" s="1"/>
  <c r="H142" i="36" s="1"/>
  <c r="N55" i="36"/>
  <c r="N98" i="36" s="1"/>
  <c r="N141" i="36" s="1"/>
  <c r="M55" i="36"/>
  <c r="M98" i="36" s="1"/>
  <c r="M141" i="36" s="1"/>
  <c r="L55" i="36"/>
  <c r="L98" i="36" s="1"/>
  <c r="L141" i="36" s="1"/>
  <c r="J55" i="36"/>
  <c r="J98" i="36" s="1"/>
  <c r="J141" i="36" s="1"/>
  <c r="I55" i="36"/>
  <c r="I98" i="36" s="1"/>
  <c r="I141" i="36" s="1"/>
  <c r="H55" i="36"/>
  <c r="H98" i="36" s="1"/>
  <c r="H141" i="36" s="1"/>
  <c r="N54" i="36"/>
  <c r="N97" i="36" s="1"/>
  <c r="N140" i="36" s="1"/>
  <c r="M54" i="36"/>
  <c r="M97" i="36" s="1"/>
  <c r="M140" i="36" s="1"/>
  <c r="L54" i="36"/>
  <c r="L97" i="36" s="1"/>
  <c r="L140" i="36" s="1"/>
  <c r="J54" i="36"/>
  <c r="J97" i="36" s="1"/>
  <c r="J140" i="36" s="1"/>
  <c r="I54" i="36"/>
  <c r="I97" i="36" s="1"/>
  <c r="I140" i="36" s="1"/>
  <c r="H54" i="36"/>
  <c r="H97" i="36" s="1"/>
  <c r="H140" i="36" s="1"/>
  <c r="N53" i="36"/>
  <c r="N96" i="36" s="1"/>
  <c r="N139" i="36" s="1"/>
  <c r="M53" i="36"/>
  <c r="M96" i="36" s="1"/>
  <c r="M139" i="36" s="1"/>
  <c r="L53" i="36"/>
  <c r="L96" i="36" s="1"/>
  <c r="L139" i="36" s="1"/>
  <c r="K53" i="36"/>
  <c r="K96" i="36" s="1"/>
  <c r="K139" i="36" s="1"/>
  <c r="J53" i="36"/>
  <c r="J96" i="36" s="1"/>
  <c r="J139" i="36" s="1"/>
  <c r="I53" i="36"/>
  <c r="I96" i="36" s="1"/>
  <c r="I139" i="36" s="1"/>
  <c r="H53" i="36"/>
  <c r="H96" i="36" s="1"/>
  <c r="H139" i="36" s="1"/>
  <c r="N52" i="36"/>
  <c r="N95" i="36" s="1"/>
  <c r="N138" i="36" s="1"/>
  <c r="M52" i="36"/>
  <c r="M95" i="36" s="1"/>
  <c r="M138" i="36" s="1"/>
  <c r="L52" i="36"/>
  <c r="L95" i="36" s="1"/>
  <c r="L138" i="36" s="1"/>
  <c r="K52" i="36"/>
  <c r="K95" i="36" s="1"/>
  <c r="K138" i="36" s="1"/>
  <c r="J52" i="36"/>
  <c r="J95" i="36" s="1"/>
  <c r="J138" i="36" s="1"/>
  <c r="I52" i="36"/>
  <c r="I95" i="36" s="1"/>
  <c r="I138" i="36" s="1"/>
  <c r="H52" i="36"/>
  <c r="H95" i="36" s="1"/>
  <c r="H138" i="36" s="1"/>
  <c r="N51" i="36"/>
  <c r="N94" i="36" s="1"/>
  <c r="N137" i="36" s="1"/>
  <c r="M51" i="36"/>
  <c r="M94" i="36" s="1"/>
  <c r="M137" i="36" s="1"/>
  <c r="L51" i="36"/>
  <c r="L94" i="36" s="1"/>
  <c r="L137" i="36" s="1"/>
  <c r="J51" i="36"/>
  <c r="J94" i="36" s="1"/>
  <c r="J137" i="36" s="1"/>
  <c r="I51" i="36"/>
  <c r="I94" i="36" s="1"/>
  <c r="I137" i="36" s="1"/>
  <c r="H51" i="36"/>
  <c r="H94" i="36" s="1"/>
  <c r="H137" i="36" s="1"/>
  <c r="N50" i="36"/>
  <c r="N93" i="36" s="1"/>
  <c r="N136" i="36" s="1"/>
  <c r="M50" i="36"/>
  <c r="M93" i="36" s="1"/>
  <c r="M136" i="36" s="1"/>
  <c r="L50" i="36"/>
  <c r="L93" i="36" s="1"/>
  <c r="L136" i="36" s="1"/>
  <c r="J50" i="36"/>
  <c r="J93" i="36" s="1"/>
  <c r="J136" i="36" s="1"/>
  <c r="I50" i="36"/>
  <c r="I93" i="36" s="1"/>
  <c r="I136" i="36" s="1"/>
  <c r="H50" i="36"/>
  <c r="H93" i="36" s="1"/>
  <c r="H136" i="36" s="1"/>
  <c r="C17" i="36"/>
  <c r="K44" i="36"/>
  <c r="K87" i="36" s="1"/>
  <c r="K130" i="36" s="1"/>
  <c r="K173" i="36" s="1"/>
  <c r="I43" i="36"/>
  <c r="I86" i="36" s="1"/>
  <c r="I129" i="36" s="1"/>
  <c r="I172" i="36" s="1"/>
  <c r="I44" i="36"/>
  <c r="I87" i="36" s="1"/>
  <c r="I130" i="36" s="1"/>
  <c r="I173" i="36" s="1"/>
  <c r="K34" i="36"/>
  <c r="K77" i="36" s="1"/>
  <c r="K120" i="36" s="1"/>
  <c r="K163" i="36" s="1"/>
  <c r="K32" i="36"/>
  <c r="K75" i="36" s="1"/>
  <c r="K118" i="36" s="1"/>
  <c r="K161" i="36" s="1"/>
  <c r="K30" i="36"/>
  <c r="K73" i="36" s="1"/>
  <c r="K116" i="36" s="1"/>
  <c r="K159" i="36" s="1"/>
  <c r="K28" i="36"/>
  <c r="K71" i="36" s="1"/>
  <c r="K114" i="36" s="1"/>
  <c r="K157" i="36" s="1"/>
  <c r="K26" i="36"/>
  <c r="K69" i="36" s="1"/>
  <c r="K112" i="36" s="1"/>
  <c r="K155" i="36" s="1"/>
  <c r="K24" i="36"/>
  <c r="K67" i="36" s="1"/>
  <c r="K110" i="36" s="1"/>
  <c r="K153" i="36" s="1"/>
  <c r="K22" i="36"/>
  <c r="K65" i="36" s="1"/>
  <c r="K108" i="36" s="1"/>
  <c r="K151" i="36" s="1"/>
  <c r="K21" i="36"/>
  <c r="K20" i="36"/>
  <c r="K63" i="36" s="1"/>
  <c r="K106" i="36" s="1"/>
  <c r="K149" i="36" s="1"/>
  <c r="K19" i="36"/>
  <c r="K62" i="36" s="1"/>
  <c r="K105" i="36" s="1"/>
  <c r="K148" i="36" s="1"/>
  <c r="K18" i="36"/>
  <c r="K61" i="36" s="1"/>
  <c r="K104" i="36" s="1"/>
  <c r="K147" i="36" s="1"/>
  <c r="K16" i="36"/>
  <c r="K59" i="36" s="1"/>
  <c r="K102" i="36" s="1"/>
  <c r="K145" i="36" s="1"/>
  <c r="K15" i="36"/>
  <c r="K58" i="36" s="1"/>
  <c r="K101" i="36" s="1"/>
  <c r="K144" i="36" s="1"/>
  <c r="K13" i="36"/>
  <c r="K56" i="36" s="1"/>
  <c r="K99" i="36" s="1"/>
  <c r="K142" i="36" s="1"/>
  <c r="K12" i="36"/>
  <c r="K55" i="36" s="1"/>
  <c r="K98" i="36" s="1"/>
  <c r="K141" i="36" s="1"/>
  <c r="K11" i="36"/>
  <c r="K54" i="36" s="1"/>
  <c r="K97" i="36" s="1"/>
  <c r="K140" i="36" s="1"/>
  <c r="K9" i="36"/>
  <c r="K8" i="36"/>
  <c r="K51" i="36" s="1"/>
  <c r="K94" i="36" s="1"/>
  <c r="K137" i="36" s="1"/>
  <c r="K7" i="36"/>
  <c r="K50" i="36" s="1"/>
  <c r="K93" i="36" s="1"/>
  <c r="K136" i="36" s="1"/>
  <c r="K43" i="36" l="1"/>
  <c r="K86" i="36" s="1"/>
  <c r="K129" i="36" s="1"/>
  <c r="K172" i="36" s="1"/>
  <c r="B141" i="38"/>
  <c r="B140" i="38"/>
  <c r="B139" i="38"/>
  <c r="B138" i="38"/>
  <c r="B134" i="38"/>
  <c r="B133" i="38"/>
  <c r="B130" i="38"/>
  <c r="B129" i="38"/>
  <c r="B18" i="38"/>
  <c r="B17" i="38"/>
  <c r="B16" i="38"/>
  <c r="B15" i="38"/>
  <c r="B11" i="38"/>
  <c r="B7" i="38"/>
  <c r="B6" i="38"/>
  <c r="K164" i="38" l="1"/>
  <c r="F173" i="36" s="1"/>
  <c r="AJ162" i="38"/>
  <c r="AI162" i="38"/>
  <c r="AH162" i="38"/>
  <c r="AJ161" i="38"/>
  <c r="AI161" i="38"/>
  <c r="AH161" i="38"/>
  <c r="AJ160" i="38"/>
  <c r="AI160" i="38"/>
  <c r="AH160" i="38"/>
  <c r="AJ158" i="38"/>
  <c r="AI158" i="38"/>
  <c r="AH158" i="38"/>
  <c r="AJ157" i="38"/>
  <c r="AI157" i="38"/>
  <c r="AH157" i="38"/>
  <c r="AJ156" i="38"/>
  <c r="AI156" i="38"/>
  <c r="AH156" i="38"/>
  <c r="AF155" i="38"/>
  <c r="AE155" i="38"/>
  <c r="W155" i="38"/>
  <c r="V155" i="38"/>
  <c r="U155" i="38"/>
  <c r="T155" i="38"/>
  <c r="S155" i="38"/>
  <c r="K155" i="38"/>
  <c r="E155" i="38"/>
  <c r="AE153" i="38"/>
  <c r="K153" i="38"/>
  <c r="E153" i="38"/>
  <c r="W151" i="38"/>
  <c r="V151" i="38"/>
  <c r="U151" i="38"/>
  <c r="T151" i="38"/>
  <c r="S151" i="38"/>
  <c r="K151" i="38"/>
  <c r="F160" i="36" s="1"/>
  <c r="E151" i="38"/>
  <c r="AF149" i="38"/>
  <c r="AE149" i="38"/>
  <c r="K149" i="38"/>
  <c r="E149" i="38"/>
  <c r="AF147" i="38"/>
  <c r="AE147" i="38"/>
  <c r="AF145" i="38"/>
  <c r="AE145" i="38"/>
  <c r="E145" i="38"/>
  <c r="AF143" i="38"/>
  <c r="AE143" i="38"/>
  <c r="E143" i="38"/>
  <c r="K140" i="38"/>
  <c r="R143" i="36"/>
  <c r="A143" i="36" s="1"/>
  <c r="AC132" i="38"/>
  <c r="AB132" i="38"/>
  <c r="AA132" i="38"/>
  <c r="Z132" i="38"/>
  <c r="Y132" i="38"/>
  <c r="X132" i="38"/>
  <c r="W132" i="38"/>
  <c r="V132" i="38"/>
  <c r="U132" i="38"/>
  <c r="K132" i="38"/>
  <c r="F141" i="36" s="1"/>
  <c r="T132" i="38"/>
  <c r="S132" i="38"/>
  <c r="K139" i="38"/>
  <c r="AC128" i="38"/>
  <c r="AB128" i="38"/>
  <c r="AA128" i="38"/>
  <c r="Z128" i="38"/>
  <c r="Y128" i="38"/>
  <c r="X128" i="38"/>
  <c r="W128" i="38"/>
  <c r="V128" i="38"/>
  <c r="S128" i="38"/>
  <c r="F137" i="36"/>
  <c r="U128" i="38"/>
  <c r="T128" i="38"/>
  <c r="E128" i="38"/>
  <c r="AQ123" i="38"/>
  <c r="AO123" i="38"/>
  <c r="AN123" i="38"/>
  <c r="AM123" i="38"/>
  <c r="AL123" i="38"/>
  <c r="AK123" i="38"/>
  <c r="AJ123" i="38"/>
  <c r="AI123" i="38"/>
  <c r="AH123" i="38"/>
  <c r="AG123" i="38"/>
  <c r="AF123" i="38"/>
  <c r="AE123" i="38"/>
  <c r="AD123" i="38"/>
  <c r="AC123" i="38"/>
  <c r="AB123" i="38"/>
  <c r="AA123" i="38"/>
  <c r="Z123" i="38"/>
  <c r="Y123" i="38"/>
  <c r="X123" i="38"/>
  <c r="R123" i="38"/>
  <c r="G123" i="38"/>
  <c r="F123" i="38"/>
  <c r="B123" i="38" s="1"/>
  <c r="AQ122" i="38"/>
  <c r="AO122" i="38"/>
  <c r="AN122" i="38"/>
  <c r="AM122" i="38"/>
  <c r="AL122" i="38"/>
  <c r="AK122" i="38"/>
  <c r="AJ122" i="38"/>
  <c r="AI122" i="38"/>
  <c r="AH122" i="38"/>
  <c r="AG122" i="38"/>
  <c r="AF122" i="38"/>
  <c r="AE122" i="38"/>
  <c r="AD122" i="38"/>
  <c r="AC122" i="38"/>
  <c r="AB122" i="38"/>
  <c r="AA122" i="38"/>
  <c r="Z122" i="38"/>
  <c r="Y122" i="38"/>
  <c r="X122" i="38"/>
  <c r="R122" i="38"/>
  <c r="N122" i="38"/>
  <c r="G122" i="38"/>
  <c r="C129" i="36" s="1"/>
  <c r="F122" i="38"/>
  <c r="B122" i="38" s="1"/>
  <c r="AQ121" i="38"/>
  <c r="AO121" i="38"/>
  <c r="AN121" i="38"/>
  <c r="AM121" i="38"/>
  <c r="AL121" i="38"/>
  <c r="AK121" i="38"/>
  <c r="AG121" i="38"/>
  <c r="AF121" i="38"/>
  <c r="AE121" i="38"/>
  <c r="AD121" i="38"/>
  <c r="AC121" i="38"/>
  <c r="AB121" i="38"/>
  <c r="AA121" i="38"/>
  <c r="Z121" i="38"/>
  <c r="Y121" i="38"/>
  <c r="X121" i="38"/>
  <c r="W121" i="38"/>
  <c r="V121" i="38"/>
  <c r="U121" i="38"/>
  <c r="T121" i="38"/>
  <c r="S121" i="38"/>
  <c r="R121" i="38"/>
  <c r="P121" i="38"/>
  <c r="O121" i="38"/>
  <c r="K121" i="38"/>
  <c r="G121" i="38"/>
  <c r="C128" i="36" s="1"/>
  <c r="F121" i="38"/>
  <c r="AQ120" i="38"/>
  <c r="AO120" i="38"/>
  <c r="AN120" i="38"/>
  <c r="AM120" i="38"/>
  <c r="AL120" i="38"/>
  <c r="AK120" i="38"/>
  <c r="AG120" i="38"/>
  <c r="AF120" i="38"/>
  <c r="AE120" i="38"/>
  <c r="AD120" i="38"/>
  <c r="AC120" i="38"/>
  <c r="AB120" i="38"/>
  <c r="AA120" i="38"/>
  <c r="Z120" i="38"/>
  <c r="Y120" i="38"/>
  <c r="X120" i="38"/>
  <c r="W120" i="38"/>
  <c r="V120" i="38"/>
  <c r="U120" i="38"/>
  <c r="T120" i="38"/>
  <c r="S120" i="38"/>
  <c r="R120" i="38"/>
  <c r="K120" i="38"/>
  <c r="G120" i="38"/>
  <c r="F120" i="38"/>
  <c r="AQ119" i="38"/>
  <c r="AO119" i="38"/>
  <c r="AN119" i="38"/>
  <c r="AM119" i="38"/>
  <c r="AL119" i="38"/>
  <c r="AK119" i="38"/>
  <c r="AG119" i="38"/>
  <c r="AF119" i="38"/>
  <c r="AE119" i="38"/>
  <c r="AD119" i="38"/>
  <c r="AC119" i="38"/>
  <c r="AB119" i="38"/>
  <c r="AA119" i="38"/>
  <c r="Z119" i="38"/>
  <c r="Y119" i="38"/>
  <c r="X119" i="38"/>
  <c r="W119" i="38"/>
  <c r="V119" i="38"/>
  <c r="U119" i="38"/>
  <c r="T119" i="38"/>
  <c r="S119" i="38"/>
  <c r="R119" i="38"/>
  <c r="K119" i="38"/>
  <c r="F126" i="36" s="1"/>
  <c r="G119" i="38"/>
  <c r="C126" i="36" s="1"/>
  <c r="F119" i="38"/>
  <c r="B126" i="36" s="1"/>
  <c r="AQ118" i="38"/>
  <c r="AO118" i="38"/>
  <c r="AN118" i="38"/>
  <c r="AM118" i="38"/>
  <c r="AL118" i="38"/>
  <c r="AK118" i="38"/>
  <c r="AG118" i="38"/>
  <c r="AF118" i="38"/>
  <c r="AE118" i="38"/>
  <c r="AD118" i="38"/>
  <c r="AC118" i="38"/>
  <c r="AB118" i="38"/>
  <c r="AA118" i="38"/>
  <c r="Z118" i="38"/>
  <c r="Y118" i="38"/>
  <c r="X118" i="38"/>
  <c r="W118" i="38"/>
  <c r="V118" i="38"/>
  <c r="U118" i="38"/>
  <c r="T118" i="38"/>
  <c r="S118" i="38"/>
  <c r="R118" i="38"/>
  <c r="N118" i="38"/>
  <c r="K118" i="38"/>
  <c r="F125" i="36" s="1"/>
  <c r="G118" i="38"/>
  <c r="F118" i="38"/>
  <c r="AQ117" i="38"/>
  <c r="AO117" i="38"/>
  <c r="AN117" i="38"/>
  <c r="AM117" i="38"/>
  <c r="AL117" i="38"/>
  <c r="AK117" i="38"/>
  <c r="AG117" i="38"/>
  <c r="AF117" i="38"/>
  <c r="AE117" i="38"/>
  <c r="AD117" i="38"/>
  <c r="AC117" i="38"/>
  <c r="AB117" i="38"/>
  <c r="AA117" i="38"/>
  <c r="Z117" i="38"/>
  <c r="Y117" i="38"/>
  <c r="X117" i="38"/>
  <c r="W117" i="38"/>
  <c r="V117" i="38"/>
  <c r="U117" i="38"/>
  <c r="T117" i="38"/>
  <c r="S117" i="38"/>
  <c r="R117" i="38"/>
  <c r="K117" i="38"/>
  <c r="G117" i="38"/>
  <c r="F117" i="38"/>
  <c r="B124" i="36" s="1"/>
  <c r="AQ116" i="38"/>
  <c r="AO116" i="38"/>
  <c r="AN116" i="38"/>
  <c r="AM116" i="38"/>
  <c r="AL116" i="38"/>
  <c r="AK116" i="38"/>
  <c r="AG116" i="38"/>
  <c r="AF116" i="38"/>
  <c r="AE116" i="38"/>
  <c r="AD116" i="38"/>
  <c r="AC116" i="38"/>
  <c r="AB116" i="38"/>
  <c r="AA116" i="38"/>
  <c r="Z116" i="38"/>
  <c r="Y116" i="38"/>
  <c r="X116" i="38"/>
  <c r="W116" i="38"/>
  <c r="V116" i="38"/>
  <c r="U116" i="38"/>
  <c r="T116" i="38"/>
  <c r="S116" i="38"/>
  <c r="R116" i="38"/>
  <c r="Q116" i="38"/>
  <c r="P116" i="38"/>
  <c r="O116" i="38"/>
  <c r="N116" i="38"/>
  <c r="M116" i="38"/>
  <c r="L116" i="38"/>
  <c r="K116" i="38"/>
  <c r="F123" i="36" s="1"/>
  <c r="G116" i="38"/>
  <c r="F116" i="38"/>
  <c r="AQ115" i="38"/>
  <c r="AO115" i="38"/>
  <c r="AN115" i="38"/>
  <c r="AM115" i="38"/>
  <c r="AL115" i="38"/>
  <c r="AK11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G115" i="38"/>
  <c r="F115" i="38"/>
  <c r="AQ114" i="38"/>
  <c r="AO114" i="38"/>
  <c r="AN114" i="38"/>
  <c r="AM114" i="38"/>
  <c r="AL114" i="38"/>
  <c r="AK114" i="38"/>
  <c r="AJ114" i="38"/>
  <c r="AI114" i="38"/>
  <c r="AH114" i="38"/>
  <c r="AG114" i="38"/>
  <c r="AD114" i="38"/>
  <c r="AC114" i="38"/>
  <c r="AB114" i="38"/>
  <c r="AA114" i="38"/>
  <c r="Z114" i="38"/>
  <c r="Y114" i="38"/>
  <c r="X114" i="38"/>
  <c r="R114" i="38"/>
  <c r="G114" i="38"/>
  <c r="F114" i="38"/>
  <c r="B121" i="36" s="1"/>
  <c r="AQ113" i="38"/>
  <c r="AO113" i="38"/>
  <c r="AN113" i="38"/>
  <c r="AM113" i="38"/>
  <c r="AL113" i="38"/>
  <c r="AK113" i="38"/>
  <c r="AJ113" i="38"/>
  <c r="AI113" i="38"/>
  <c r="AH113" i="38"/>
  <c r="AG113" i="38"/>
  <c r="AF113" i="38"/>
  <c r="AE113" i="38"/>
  <c r="AD113" i="38"/>
  <c r="AC113" i="38"/>
  <c r="AB113" i="38"/>
  <c r="AA113" i="38"/>
  <c r="Z113" i="38"/>
  <c r="Y113" i="38"/>
  <c r="X113" i="38"/>
  <c r="W113" i="38"/>
  <c r="V113" i="38"/>
  <c r="U113" i="38"/>
  <c r="T113" i="38"/>
  <c r="S113" i="38"/>
  <c r="R113" i="38"/>
  <c r="Q113" i="38"/>
  <c r="P113" i="38"/>
  <c r="O113" i="38"/>
  <c r="N113" i="38"/>
  <c r="M113" i="38"/>
  <c r="L113" i="38"/>
  <c r="K113" i="38"/>
  <c r="F120" i="36" s="1"/>
  <c r="G113" i="38"/>
  <c r="C120" i="36" s="1"/>
  <c r="F113" i="38"/>
  <c r="AQ112" i="38"/>
  <c r="AO112" i="38"/>
  <c r="AN112" i="38"/>
  <c r="AM112" i="38"/>
  <c r="AL112" i="38"/>
  <c r="AK112" i="38"/>
  <c r="AJ112" i="38"/>
  <c r="AI112" i="38"/>
  <c r="AH112" i="38"/>
  <c r="AG112" i="38"/>
  <c r="AD112" i="38"/>
  <c r="AC112" i="38"/>
  <c r="AB112" i="38"/>
  <c r="AA112" i="38"/>
  <c r="Z112" i="38"/>
  <c r="Y112" i="38"/>
  <c r="X112" i="38"/>
  <c r="R112" i="38"/>
  <c r="G112" i="38"/>
  <c r="F112" i="38"/>
  <c r="AQ111" i="38"/>
  <c r="AO111" i="38"/>
  <c r="AN111" i="38"/>
  <c r="AM111" i="38"/>
  <c r="AL111" i="38"/>
  <c r="AK111" i="38"/>
  <c r="AJ111" i="38"/>
  <c r="AI111" i="38"/>
  <c r="AH111" i="38"/>
  <c r="AG111" i="38"/>
  <c r="AD111" i="38"/>
  <c r="AC111" i="38"/>
  <c r="AB111" i="38"/>
  <c r="AA111" i="38"/>
  <c r="Z111" i="38"/>
  <c r="Y111" i="38"/>
  <c r="X111" i="38"/>
  <c r="R111" i="38"/>
  <c r="L111" i="38"/>
  <c r="K111" i="38"/>
  <c r="G111" i="38"/>
  <c r="F111" i="38"/>
  <c r="B118" i="36" s="1"/>
  <c r="E111" i="38"/>
  <c r="AQ110" i="38"/>
  <c r="AO110" i="38"/>
  <c r="AN110" i="38"/>
  <c r="AM110" i="38"/>
  <c r="AL110" i="38"/>
  <c r="AK110" i="38"/>
  <c r="AJ110" i="38"/>
  <c r="AI110" i="38"/>
  <c r="AH110" i="38"/>
  <c r="AG110" i="38"/>
  <c r="AD110" i="38"/>
  <c r="AC110" i="38"/>
  <c r="AB110" i="38"/>
  <c r="AA110" i="38"/>
  <c r="Z110" i="38"/>
  <c r="Y110" i="38"/>
  <c r="X110" i="38"/>
  <c r="R110" i="38"/>
  <c r="G110" i="38"/>
  <c r="C117" i="36" s="1"/>
  <c r="F110" i="38"/>
  <c r="AQ109" i="38"/>
  <c r="AO109" i="38"/>
  <c r="AN109" i="38"/>
  <c r="AM109" i="38"/>
  <c r="AL109" i="38"/>
  <c r="AK109" i="38"/>
  <c r="AJ109" i="38"/>
  <c r="AI109" i="38"/>
  <c r="AH109" i="38"/>
  <c r="AG109" i="38"/>
  <c r="AD109" i="38"/>
  <c r="AC109" i="38"/>
  <c r="AB109" i="38"/>
  <c r="AA109" i="38"/>
  <c r="Z109" i="38"/>
  <c r="Y109" i="38"/>
  <c r="X109" i="38"/>
  <c r="W109" i="38"/>
  <c r="V109" i="38"/>
  <c r="U109" i="38"/>
  <c r="T109" i="38"/>
  <c r="S109" i="38"/>
  <c r="R109" i="38"/>
  <c r="K109" i="38"/>
  <c r="G109" i="38"/>
  <c r="F109" i="38"/>
  <c r="AQ108" i="38"/>
  <c r="AO108" i="38"/>
  <c r="AN108" i="38"/>
  <c r="AM108" i="38"/>
  <c r="AL108" i="38"/>
  <c r="AK108" i="38"/>
  <c r="AJ108" i="38"/>
  <c r="AI108" i="38"/>
  <c r="AH108" i="38"/>
  <c r="AG108" i="38"/>
  <c r="AD108" i="38"/>
  <c r="AC108" i="38"/>
  <c r="AB108" i="38"/>
  <c r="AA108" i="38"/>
  <c r="Z108" i="38"/>
  <c r="Y108" i="38"/>
  <c r="X108" i="38"/>
  <c r="R108" i="38"/>
  <c r="G108" i="38"/>
  <c r="F108" i="38"/>
  <c r="B115" i="36" s="1"/>
  <c r="AQ107" i="38"/>
  <c r="AO107" i="38"/>
  <c r="AN107" i="38"/>
  <c r="AM107" i="38"/>
  <c r="AL107" i="38"/>
  <c r="AK107" i="38"/>
  <c r="AJ107" i="38"/>
  <c r="AI107" i="38"/>
  <c r="AH107" i="38"/>
  <c r="AG107" i="38"/>
  <c r="AF107" i="38"/>
  <c r="AE107" i="38"/>
  <c r="AD107" i="38"/>
  <c r="AC107" i="38"/>
  <c r="AB107" i="38"/>
  <c r="AA107" i="38"/>
  <c r="Z107" i="38"/>
  <c r="Y107" i="38"/>
  <c r="X107" i="38"/>
  <c r="S107" i="38"/>
  <c r="R107" i="38"/>
  <c r="K107" i="38"/>
  <c r="G107" i="38"/>
  <c r="F107" i="38"/>
  <c r="AQ106" i="38"/>
  <c r="AO106" i="38"/>
  <c r="AN106" i="38"/>
  <c r="AM106" i="38"/>
  <c r="AL106" i="38"/>
  <c r="AK106" i="38"/>
  <c r="AJ106" i="38"/>
  <c r="AI106" i="38"/>
  <c r="AH106" i="38"/>
  <c r="AG106" i="38"/>
  <c r="AD106" i="38"/>
  <c r="AC106" i="38"/>
  <c r="AB106" i="38"/>
  <c r="AA106" i="38"/>
  <c r="Z106" i="38"/>
  <c r="Y106" i="38"/>
  <c r="X106" i="38"/>
  <c r="R106" i="38"/>
  <c r="G106" i="38"/>
  <c r="C113" i="36" s="1"/>
  <c r="F106" i="38"/>
  <c r="B113" i="36" s="1"/>
  <c r="AQ105" i="38"/>
  <c r="AO105" i="38"/>
  <c r="AN105" i="38"/>
  <c r="AM105" i="38"/>
  <c r="AL105" i="38"/>
  <c r="AK105" i="38"/>
  <c r="AJ105" i="38"/>
  <c r="AI105" i="38"/>
  <c r="AH105" i="38"/>
  <c r="AG105" i="38"/>
  <c r="AF105" i="38"/>
  <c r="AE105" i="38"/>
  <c r="AD105" i="38"/>
  <c r="AC105" i="38"/>
  <c r="AB105" i="38"/>
  <c r="AA105" i="38"/>
  <c r="Z105" i="38"/>
  <c r="Y105" i="38"/>
  <c r="X105" i="38"/>
  <c r="S105" i="38"/>
  <c r="R105" i="38"/>
  <c r="K105" i="38"/>
  <c r="F112" i="36" s="1"/>
  <c r="G105" i="38"/>
  <c r="F105" i="38"/>
  <c r="B112" i="36" s="1"/>
  <c r="AQ104" i="38"/>
  <c r="AO104" i="38"/>
  <c r="AN104" i="38"/>
  <c r="AM104" i="38"/>
  <c r="AL104" i="38"/>
  <c r="AK104" i="38"/>
  <c r="AJ104" i="38"/>
  <c r="AI104" i="38"/>
  <c r="AH104" i="38"/>
  <c r="AG104" i="38"/>
  <c r="AD104" i="38"/>
  <c r="AC104" i="38"/>
  <c r="AB104" i="38"/>
  <c r="AA104" i="38"/>
  <c r="Z104" i="38"/>
  <c r="Y104" i="38"/>
  <c r="X104" i="38"/>
  <c r="R104" i="38"/>
  <c r="G104" i="38"/>
  <c r="F104" i="38"/>
  <c r="AQ103" i="38"/>
  <c r="AO103" i="38"/>
  <c r="AN103" i="38"/>
  <c r="AM103" i="38"/>
  <c r="AL103" i="38"/>
  <c r="AK103" i="38"/>
  <c r="AJ103" i="38"/>
  <c r="AI103" i="38"/>
  <c r="AH103" i="38"/>
  <c r="AG103" i="38"/>
  <c r="AF103" i="38"/>
  <c r="AE103" i="38"/>
  <c r="AD103" i="38"/>
  <c r="AC103" i="38"/>
  <c r="AB103" i="38"/>
  <c r="AA103" i="38"/>
  <c r="Z103" i="38"/>
  <c r="Y103" i="38"/>
  <c r="X103" i="38"/>
  <c r="V103" i="38"/>
  <c r="R103" i="38"/>
  <c r="K103" i="38"/>
  <c r="F110" i="36" s="1"/>
  <c r="G103" i="38"/>
  <c r="F103" i="38"/>
  <c r="B110" i="36" s="1"/>
  <c r="AQ102" i="38"/>
  <c r="AO102" i="38"/>
  <c r="AN102" i="38"/>
  <c r="AM102" i="38"/>
  <c r="AL102" i="38"/>
  <c r="AK102" i="38"/>
  <c r="AJ102" i="38"/>
  <c r="AI102" i="38"/>
  <c r="AH102" i="38"/>
  <c r="AG102" i="38"/>
  <c r="AD102" i="38"/>
  <c r="AC102" i="38"/>
  <c r="AB102" i="38"/>
  <c r="AA102" i="38"/>
  <c r="Z102" i="38"/>
  <c r="Y102" i="38"/>
  <c r="X102" i="38"/>
  <c r="R102" i="38"/>
  <c r="G102" i="38"/>
  <c r="C109" i="36" s="1"/>
  <c r="F102" i="38"/>
  <c r="AQ101" i="38"/>
  <c r="AO101" i="38"/>
  <c r="AN101" i="38"/>
  <c r="AM101" i="38"/>
  <c r="AL101" i="38"/>
  <c r="AK101" i="38"/>
  <c r="AJ101" i="38"/>
  <c r="AI101" i="38"/>
  <c r="AH101" i="38"/>
  <c r="AG101" i="38"/>
  <c r="AF101" i="38"/>
  <c r="AE101" i="38"/>
  <c r="AD101" i="38"/>
  <c r="AC101" i="38"/>
  <c r="AB101" i="38"/>
  <c r="AA101" i="38"/>
  <c r="Z101" i="38"/>
  <c r="Y101" i="38"/>
  <c r="X101" i="38"/>
  <c r="W101" i="38"/>
  <c r="R101" i="38"/>
  <c r="Q101" i="38"/>
  <c r="M101" i="38"/>
  <c r="G101" i="38"/>
  <c r="F101" i="38"/>
  <c r="B108" i="36" s="1"/>
  <c r="E101" i="38"/>
  <c r="AQ100" i="38"/>
  <c r="AO100" i="38"/>
  <c r="AN100" i="38"/>
  <c r="AM100" i="38"/>
  <c r="AL100" i="38"/>
  <c r="AK100" i="38"/>
  <c r="AJ100" i="38"/>
  <c r="AI100" i="38"/>
  <c r="AH100" i="38"/>
  <c r="AG100" i="38"/>
  <c r="AF100" i="38"/>
  <c r="AE100" i="38"/>
  <c r="AD100" i="38"/>
  <c r="AC100" i="38"/>
  <c r="AB100" i="38"/>
  <c r="AA100" i="38"/>
  <c r="Z100" i="38"/>
  <c r="Y100" i="38"/>
  <c r="X100" i="38"/>
  <c r="W100" i="38"/>
  <c r="V100" i="38"/>
  <c r="U100" i="38"/>
  <c r="T100" i="38"/>
  <c r="S100" i="38"/>
  <c r="R100" i="38"/>
  <c r="K100" i="38"/>
  <c r="G100" i="38"/>
  <c r="F100" i="38"/>
  <c r="B100" i="38" s="1"/>
  <c r="R107" i="36" s="1"/>
  <c r="A107" i="36" s="1"/>
  <c r="AQ99" i="38"/>
  <c r="AO99" i="38"/>
  <c r="AN99" i="38"/>
  <c r="AM99" i="38"/>
  <c r="AL99" i="38"/>
  <c r="AK99" i="38"/>
  <c r="AJ99" i="38"/>
  <c r="AI99" i="38"/>
  <c r="AH99" i="38"/>
  <c r="AG99" i="38"/>
  <c r="AF99" i="38"/>
  <c r="AE99" i="38"/>
  <c r="AD99" i="38"/>
  <c r="AC99" i="38"/>
  <c r="AB99" i="38"/>
  <c r="AA99" i="38"/>
  <c r="Z99" i="38"/>
  <c r="Y99" i="38"/>
  <c r="X99" i="38"/>
  <c r="T99" i="38"/>
  <c r="R99" i="38"/>
  <c r="G99" i="38"/>
  <c r="F99" i="38"/>
  <c r="B99" i="38" s="1"/>
  <c r="AQ98" i="38"/>
  <c r="AO98" i="38"/>
  <c r="AN98" i="38"/>
  <c r="AM98" i="38"/>
  <c r="AL98" i="38"/>
  <c r="AK98" i="38"/>
  <c r="AJ98" i="38"/>
  <c r="AI98" i="38"/>
  <c r="AH98" i="38"/>
  <c r="AG98" i="38"/>
  <c r="AF98" i="38"/>
  <c r="AE98" i="38"/>
  <c r="AD98" i="38"/>
  <c r="AC98" i="38"/>
  <c r="AB98" i="38"/>
  <c r="AA98" i="38"/>
  <c r="Z98" i="38"/>
  <c r="Y98" i="38"/>
  <c r="X98" i="38"/>
  <c r="V98" i="38"/>
  <c r="R98" i="38"/>
  <c r="G98" i="38"/>
  <c r="F98" i="38"/>
  <c r="B98" i="38" s="1"/>
  <c r="AQ97" i="38"/>
  <c r="AO97" i="38"/>
  <c r="AN97" i="38"/>
  <c r="AM97" i="38"/>
  <c r="AL97" i="38"/>
  <c r="AK97" i="38"/>
  <c r="AJ97" i="38"/>
  <c r="AI97" i="38"/>
  <c r="AH97" i="38"/>
  <c r="AG97" i="38"/>
  <c r="AF97" i="38"/>
  <c r="AE97" i="38"/>
  <c r="AD97" i="38"/>
  <c r="AC97" i="38"/>
  <c r="AB97" i="38"/>
  <c r="AA97" i="38"/>
  <c r="Z97" i="38"/>
  <c r="Y97" i="38"/>
  <c r="X97" i="38"/>
  <c r="T97" i="38"/>
  <c r="R97" i="38"/>
  <c r="K97" i="38"/>
  <c r="F104" i="36" s="1"/>
  <c r="G97" i="38"/>
  <c r="F97" i="38"/>
  <c r="B97" i="38" s="1"/>
  <c r="AQ96" i="38"/>
  <c r="AO96" i="38"/>
  <c r="AN96" i="38"/>
  <c r="AM96" i="38"/>
  <c r="AL96" i="38"/>
  <c r="AK96" i="38"/>
  <c r="AJ96" i="38"/>
  <c r="AI96" i="38"/>
  <c r="AH96" i="38"/>
  <c r="AG96" i="38"/>
  <c r="AF96" i="38"/>
  <c r="AE96" i="38"/>
  <c r="AD96" i="38"/>
  <c r="AC96" i="38"/>
  <c r="AB96" i="38"/>
  <c r="AA96" i="38"/>
  <c r="Z96" i="38"/>
  <c r="Y96" i="38"/>
  <c r="X96" i="38"/>
  <c r="R96" i="38"/>
  <c r="L96" i="38"/>
  <c r="K96" i="38"/>
  <c r="G96" i="38"/>
  <c r="C103" i="36" s="1"/>
  <c r="F96" i="38"/>
  <c r="B103" i="36" s="1"/>
  <c r="E96" i="38"/>
  <c r="AQ95" i="38"/>
  <c r="AO95" i="38"/>
  <c r="AN95" i="38"/>
  <c r="AM95" i="38"/>
  <c r="AL95" i="38"/>
  <c r="AK95" i="38"/>
  <c r="AJ95" i="38"/>
  <c r="AI95" i="38"/>
  <c r="AH95" i="38"/>
  <c r="AG95" i="38"/>
  <c r="AF95" i="38"/>
  <c r="AE95" i="38"/>
  <c r="AD95" i="38"/>
  <c r="AC95" i="38"/>
  <c r="AB95" i="38"/>
  <c r="AA95" i="38"/>
  <c r="Z95" i="38"/>
  <c r="Y95" i="38"/>
  <c r="X95" i="38"/>
  <c r="W95" i="38"/>
  <c r="V95" i="38"/>
  <c r="U95" i="38"/>
  <c r="T95" i="38"/>
  <c r="R95" i="38"/>
  <c r="Q95" i="38"/>
  <c r="P95" i="38"/>
  <c r="O95" i="38"/>
  <c r="N95" i="38"/>
  <c r="M95" i="38"/>
  <c r="L95" i="38"/>
  <c r="K95" i="38"/>
  <c r="G95" i="38"/>
  <c r="F95" i="38"/>
  <c r="B102" i="36" s="1"/>
  <c r="AQ94" i="38"/>
  <c r="AO94" i="38"/>
  <c r="AN94" i="38"/>
  <c r="AM94" i="38"/>
  <c r="AL94" i="38"/>
  <c r="AK94" i="38"/>
  <c r="AJ94" i="38"/>
  <c r="AI94" i="38"/>
  <c r="AH94" i="38"/>
  <c r="AG94" i="38"/>
  <c r="AD94" i="38"/>
  <c r="AC94" i="38"/>
  <c r="AB94" i="38"/>
  <c r="AA94" i="38"/>
  <c r="Z94" i="38"/>
  <c r="Y94" i="38"/>
  <c r="X94" i="38"/>
  <c r="R94" i="38"/>
  <c r="K94" i="38"/>
  <c r="G94" i="38"/>
  <c r="C101" i="36" s="1"/>
  <c r="F94" i="38"/>
  <c r="AQ93" i="38"/>
  <c r="AO93" i="38"/>
  <c r="AN93" i="38"/>
  <c r="AM93" i="38"/>
  <c r="AL93" i="38"/>
  <c r="AK93" i="38"/>
  <c r="AJ93" i="38"/>
  <c r="AI93" i="38"/>
  <c r="AH93" i="38"/>
  <c r="AG93" i="38"/>
  <c r="AF93" i="38"/>
  <c r="AE93" i="38"/>
  <c r="AD93" i="38"/>
  <c r="AC93" i="38"/>
  <c r="AB93" i="38"/>
  <c r="AA93" i="38"/>
  <c r="Z93" i="38"/>
  <c r="Y93" i="38"/>
  <c r="X93" i="38"/>
  <c r="R93" i="38"/>
  <c r="Q93" i="38"/>
  <c r="K93" i="38"/>
  <c r="F100" i="36" s="1"/>
  <c r="G93" i="38"/>
  <c r="F93" i="38"/>
  <c r="B93" i="38" s="1"/>
  <c r="AQ92" i="38"/>
  <c r="AO92" i="38"/>
  <c r="AN92" i="38"/>
  <c r="AM92" i="38"/>
  <c r="AL92" i="38"/>
  <c r="AK92" i="38"/>
  <c r="AJ92" i="38"/>
  <c r="AI92" i="38"/>
  <c r="AH92" i="38"/>
  <c r="AG92" i="38"/>
  <c r="AF92" i="38"/>
  <c r="AE92" i="38"/>
  <c r="AD92" i="38"/>
  <c r="AC92" i="38"/>
  <c r="AB92" i="38"/>
  <c r="AA92" i="38"/>
  <c r="Z92" i="38"/>
  <c r="Y92" i="38"/>
  <c r="X92" i="38"/>
  <c r="W92" i="38"/>
  <c r="V92" i="38"/>
  <c r="U92" i="38"/>
  <c r="T92" i="38"/>
  <c r="S92" i="38"/>
  <c r="R92" i="38"/>
  <c r="Q92" i="38"/>
  <c r="N92" i="38"/>
  <c r="K92" i="38"/>
  <c r="G92" i="38"/>
  <c r="F92" i="38"/>
  <c r="B92" i="38" s="1"/>
  <c r="AQ91" i="38"/>
  <c r="AO91" i="38"/>
  <c r="AN91" i="38"/>
  <c r="AM91" i="38"/>
  <c r="AL91" i="38"/>
  <c r="AK91" i="38"/>
  <c r="AJ91" i="38"/>
  <c r="AI91" i="38"/>
  <c r="AH91" i="38"/>
  <c r="AG91" i="38"/>
  <c r="AD91" i="38"/>
  <c r="AC91" i="38"/>
  <c r="AB91" i="38"/>
  <c r="AA91" i="38"/>
  <c r="Z91" i="38"/>
  <c r="Y91" i="38"/>
  <c r="X91" i="38"/>
  <c r="G91" i="38"/>
  <c r="F91" i="38"/>
  <c r="AQ90" i="38"/>
  <c r="AO90" i="38"/>
  <c r="AN90" i="38"/>
  <c r="AM90" i="38"/>
  <c r="AL90" i="38"/>
  <c r="AK90" i="38"/>
  <c r="AJ90" i="38"/>
  <c r="AI90" i="38"/>
  <c r="AH90" i="38"/>
  <c r="AG90" i="38"/>
  <c r="AF90" i="38"/>
  <c r="AD90" i="38"/>
  <c r="AC90" i="38"/>
  <c r="AB90" i="38"/>
  <c r="AA90" i="38"/>
  <c r="Z90" i="38"/>
  <c r="Y90" i="38"/>
  <c r="X90" i="38"/>
  <c r="U90" i="38"/>
  <c r="R90" i="38"/>
  <c r="P90" i="38"/>
  <c r="G90" i="38"/>
  <c r="C97" i="36" s="1"/>
  <c r="F90" i="38"/>
  <c r="AQ89" i="38"/>
  <c r="AO89" i="38"/>
  <c r="AN89" i="38"/>
  <c r="AM89" i="38"/>
  <c r="AL89" i="38"/>
  <c r="AK89" i="38"/>
  <c r="AJ89" i="38"/>
  <c r="AI89" i="38"/>
  <c r="AH89" i="38"/>
  <c r="AG89" i="38"/>
  <c r="AF89" i="38"/>
  <c r="AE89" i="38"/>
  <c r="AD89" i="38"/>
  <c r="AC89" i="38"/>
  <c r="AB89" i="38"/>
  <c r="AA89" i="38"/>
  <c r="Z89" i="38"/>
  <c r="Y89" i="38"/>
  <c r="X89" i="38"/>
  <c r="R89" i="38"/>
  <c r="L89" i="38"/>
  <c r="K89" i="38"/>
  <c r="G89" i="38"/>
  <c r="F89" i="38"/>
  <c r="B89" i="38" s="1"/>
  <c r="R96" i="36" s="1"/>
  <c r="A96" i="36" s="1"/>
  <c r="AQ88" i="38"/>
  <c r="AO88" i="38"/>
  <c r="AN88" i="38"/>
  <c r="AM88" i="38"/>
  <c r="AL88" i="38"/>
  <c r="AK88" i="38"/>
  <c r="AJ88" i="38"/>
  <c r="AI88" i="38"/>
  <c r="AH88" i="38"/>
  <c r="AG88" i="38"/>
  <c r="AF88" i="38"/>
  <c r="AE88" i="38"/>
  <c r="AD88" i="38"/>
  <c r="AC88" i="38"/>
  <c r="AB88" i="38"/>
  <c r="AA88" i="38"/>
  <c r="Z88" i="38"/>
  <c r="Y88" i="38"/>
  <c r="X88" i="38"/>
  <c r="W88" i="38"/>
  <c r="V88" i="38"/>
  <c r="U88" i="38"/>
  <c r="T88" i="38"/>
  <c r="S88" i="38"/>
  <c r="R88" i="38"/>
  <c r="L88" i="38"/>
  <c r="K88" i="38"/>
  <c r="F95" i="36" s="1"/>
  <c r="G88" i="38"/>
  <c r="F88" i="38"/>
  <c r="B88" i="38" s="1"/>
  <c r="AQ87" i="38"/>
  <c r="AO87" i="38"/>
  <c r="AN87" i="38"/>
  <c r="AM87" i="38"/>
  <c r="AL87" i="38"/>
  <c r="AK87" i="38"/>
  <c r="AJ87" i="38"/>
  <c r="AI87" i="38"/>
  <c r="AH87" i="38"/>
  <c r="AG87" i="38"/>
  <c r="AF87" i="38"/>
  <c r="AE87" i="38"/>
  <c r="AD87" i="38"/>
  <c r="AC87" i="38"/>
  <c r="AB87" i="38"/>
  <c r="AA87" i="38"/>
  <c r="Z87" i="38"/>
  <c r="Y87" i="38"/>
  <c r="X87" i="38"/>
  <c r="K87" i="38"/>
  <c r="F94" i="36" s="1"/>
  <c r="G87" i="38"/>
  <c r="C94" i="36" s="1"/>
  <c r="F87" i="38"/>
  <c r="AQ86" i="38"/>
  <c r="AO86" i="38"/>
  <c r="AN86" i="38"/>
  <c r="AM86" i="38"/>
  <c r="AL86" i="38"/>
  <c r="AK86" i="38"/>
  <c r="AJ86" i="38"/>
  <c r="AI86" i="38"/>
  <c r="AH86" i="38"/>
  <c r="AG86" i="38"/>
  <c r="AD86" i="38"/>
  <c r="AC86" i="38"/>
  <c r="AB86" i="38"/>
  <c r="AA86" i="38"/>
  <c r="Z86" i="38"/>
  <c r="Y86" i="38"/>
  <c r="X86" i="38"/>
  <c r="R86" i="38"/>
  <c r="G86" i="38"/>
  <c r="C93" i="36" s="1"/>
  <c r="F86" i="38"/>
  <c r="AQ82" i="38"/>
  <c r="AO82" i="38"/>
  <c r="AN82" i="38"/>
  <c r="AM82" i="38"/>
  <c r="AL82" i="38"/>
  <c r="AK82" i="38"/>
  <c r="AJ82" i="38"/>
  <c r="AI82" i="38"/>
  <c r="AH82" i="38"/>
  <c r="AG82" i="38"/>
  <c r="AF82" i="38"/>
  <c r="AE82" i="38"/>
  <c r="AD82" i="38"/>
  <c r="AC82" i="38"/>
  <c r="AB82" i="38"/>
  <c r="AA82" i="38"/>
  <c r="Z82" i="38"/>
  <c r="Y82" i="38"/>
  <c r="X82" i="38"/>
  <c r="R82" i="38"/>
  <c r="Q82" i="38"/>
  <c r="G82" i="38"/>
  <c r="C87" i="36" s="1"/>
  <c r="F82" i="38"/>
  <c r="B87" i="36" s="1"/>
  <c r="AQ81" i="38"/>
  <c r="AO81" i="38"/>
  <c r="AN81" i="38"/>
  <c r="AM81" i="38"/>
  <c r="AL81" i="38"/>
  <c r="AK81" i="38"/>
  <c r="AJ81" i="38"/>
  <c r="AI81" i="38"/>
  <c r="AH81" i="38"/>
  <c r="AG81" i="38"/>
  <c r="AF81" i="38"/>
  <c r="AE81" i="38"/>
  <c r="AD81" i="38"/>
  <c r="AC81" i="38"/>
  <c r="AB81" i="38"/>
  <c r="AA81" i="38"/>
  <c r="Z81" i="38"/>
  <c r="Y81" i="38"/>
  <c r="X81" i="38"/>
  <c r="W81" i="38"/>
  <c r="S81" i="38"/>
  <c r="R81" i="38"/>
  <c r="M81" i="38"/>
  <c r="G81" i="38"/>
  <c r="C86" i="36" s="1"/>
  <c r="F81" i="38"/>
  <c r="AQ80" i="38"/>
  <c r="AO80" i="38"/>
  <c r="AN80" i="38"/>
  <c r="AM80" i="38"/>
  <c r="AL80" i="38"/>
  <c r="AK80" i="38"/>
  <c r="AG80" i="38"/>
  <c r="AF80" i="38"/>
  <c r="AE80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R80" i="38"/>
  <c r="P80" i="38"/>
  <c r="O80" i="38"/>
  <c r="K80" i="38"/>
  <c r="F85" i="36" s="1"/>
  <c r="G80" i="38"/>
  <c r="C85" i="36" s="1"/>
  <c r="F80" i="38"/>
  <c r="B85" i="36" s="1"/>
  <c r="AQ79" i="38"/>
  <c r="AO79" i="38"/>
  <c r="AN79" i="38"/>
  <c r="AM79" i="38"/>
  <c r="AL79" i="38"/>
  <c r="AK79" i="38"/>
  <c r="AG79" i="38"/>
  <c r="AF79" i="38"/>
  <c r="AE79" i="38"/>
  <c r="AD79" i="38"/>
  <c r="AC79" i="38"/>
  <c r="AB79" i="38"/>
  <c r="AA79" i="38"/>
  <c r="Z79" i="38"/>
  <c r="Y79" i="38"/>
  <c r="X79" i="38"/>
  <c r="W79" i="38"/>
  <c r="V79" i="38"/>
  <c r="U79" i="38"/>
  <c r="T79" i="38"/>
  <c r="S79" i="38"/>
  <c r="R79" i="38"/>
  <c r="Q79" i="38"/>
  <c r="K79" i="38"/>
  <c r="G79" i="38"/>
  <c r="C84" i="36" s="1"/>
  <c r="F79" i="38"/>
  <c r="AQ78" i="38"/>
  <c r="AO78" i="38"/>
  <c r="AN78" i="38"/>
  <c r="AM78" i="38"/>
  <c r="AL78" i="38"/>
  <c r="AK78" i="38"/>
  <c r="AG78" i="38"/>
  <c r="AF78" i="38"/>
  <c r="AE78" i="38"/>
  <c r="AD78" i="38"/>
  <c r="AC78" i="38"/>
  <c r="AB78" i="38"/>
  <c r="AA78" i="38"/>
  <c r="Z78" i="38"/>
  <c r="Y78" i="38"/>
  <c r="X78" i="38"/>
  <c r="W78" i="38"/>
  <c r="V78" i="38"/>
  <c r="U78" i="38"/>
  <c r="T78" i="38"/>
  <c r="S78" i="38"/>
  <c r="R78" i="38"/>
  <c r="N78" i="38"/>
  <c r="K78" i="38"/>
  <c r="G78" i="38"/>
  <c r="C83" i="36" s="1"/>
  <c r="F78" i="38"/>
  <c r="B83" i="36" s="1"/>
  <c r="AQ77" i="38"/>
  <c r="AO77" i="38"/>
  <c r="AN77" i="38"/>
  <c r="AM77" i="38"/>
  <c r="AL77" i="38"/>
  <c r="AK77" i="38"/>
  <c r="AG77" i="38"/>
  <c r="AF77" i="38"/>
  <c r="AE77" i="38"/>
  <c r="AD77" i="38"/>
  <c r="AC77" i="38"/>
  <c r="AB77" i="38"/>
  <c r="AA77" i="38"/>
  <c r="Z77" i="38"/>
  <c r="Y77" i="38"/>
  <c r="X77" i="38"/>
  <c r="W77" i="38"/>
  <c r="V77" i="38"/>
  <c r="U77" i="38"/>
  <c r="T77" i="38"/>
  <c r="S77" i="38"/>
  <c r="R77" i="38"/>
  <c r="Q77" i="38"/>
  <c r="P77" i="38"/>
  <c r="L77" i="38"/>
  <c r="K77" i="38"/>
  <c r="F82" i="36" s="1"/>
  <c r="G77" i="38"/>
  <c r="C82" i="36" s="1"/>
  <c r="F77" i="38"/>
  <c r="B82" i="36" s="1"/>
  <c r="AQ76" i="38"/>
  <c r="AO76" i="38"/>
  <c r="AN76" i="38"/>
  <c r="AM76" i="38"/>
  <c r="AL76" i="38"/>
  <c r="AK76" i="38"/>
  <c r="AG76" i="38"/>
  <c r="AF76" i="38"/>
  <c r="AE76" i="38"/>
  <c r="AD76" i="38"/>
  <c r="AC76" i="38"/>
  <c r="AB76" i="38"/>
  <c r="AA76" i="38"/>
  <c r="Z76" i="38"/>
  <c r="Y76" i="38"/>
  <c r="X76" i="38"/>
  <c r="W76" i="38"/>
  <c r="V76" i="38"/>
  <c r="U76" i="38"/>
  <c r="T76" i="38"/>
  <c r="S76" i="38"/>
  <c r="R76" i="38"/>
  <c r="N76" i="38"/>
  <c r="K76" i="38"/>
  <c r="G76" i="38"/>
  <c r="F76" i="38"/>
  <c r="E76" i="38"/>
  <c r="AQ75" i="38"/>
  <c r="AO75" i="38"/>
  <c r="AN75" i="38"/>
  <c r="AM75" i="38"/>
  <c r="AL75" i="38"/>
  <c r="AK75" i="38"/>
  <c r="AG75" i="38"/>
  <c r="AF75" i="38"/>
  <c r="AE75" i="38"/>
  <c r="AD75" i="38"/>
  <c r="AC75" i="38"/>
  <c r="AB75" i="38"/>
  <c r="AA75" i="38"/>
  <c r="Z75" i="38"/>
  <c r="Y75" i="38"/>
  <c r="X75" i="38"/>
  <c r="W75" i="38"/>
  <c r="V75" i="38"/>
  <c r="U75" i="38"/>
  <c r="T75" i="38"/>
  <c r="S75" i="38"/>
  <c r="R75" i="38"/>
  <c r="Q75" i="38"/>
  <c r="P75" i="38"/>
  <c r="O75" i="38"/>
  <c r="N75" i="38"/>
  <c r="M75" i="38"/>
  <c r="L75" i="38"/>
  <c r="K75" i="38"/>
  <c r="F80" i="36" s="1"/>
  <c r="G75" i="38"/>
  <c r="C80" i="36" s="1"/>
  <c r="F75" i="38"/>
  <c r="AQ74" i="38"/>
  <c r="AO74" i="38"/>
  <c r="AN74" i="38"/>
  <c r="AM74" i="38"/>
  <c r="AL74" i="38"/>
  <c r="AK74" i="38"/>
  <c r="AG74" i="38"/>
  <c r="AF74" i="38"/>
  <c r="AE74" i="38"/>
  <c r="AD74" i="38"/>
  <c r="AC74" i="38"/>
  <c r="AB74" i="38"/>
  <c r="AA74" i="38"/>
  <c r="Z74" i="38"/>
  <c r="Y74" i="38"/>
  <c r="X74" i="38"/>
  <c r="W74" i="38"/>
  <c r="V74" i="38"/>
  <c r="U74" i="38"/>
  <c r="T74" i="38"/>
  <c r="S74" i="38"/>
  <c r="R74" i="38"/>
  <c r="Q74" i="38"/>
  <c r="P74" i="38"/>
  <c r="O74" i="38"/>
  <c r="N74" i="38"/>
  <c r="M74" i="38"/>
  <c r="L74" i="38"/>
  <c r="K74" i="38"/>
  <c r="F79" i="36" s="1"/>
  <c r="G74" i="38"/>
  <c r="F74" i="38"/>
  <c r="E74" i="38"/>
  <c r="AQ73" i="38"/>
  <c r="AO73" i="38"/>
  <c r="AN73" i="38"/>
  <c r="AM73" i="38"/>
  <c r="AL73" i="38"/>
  <c r="AK73" i="38"/>
  <c r="AJ73" i="38"/>
  <c r="AI73" i="38"/>
  <c r="AH73" i="38"/>
  <c r="AG73" i="38"/>
  <c r="AD73" i="38"/>
  <c r="AC73" i="38"/>
  <c r="AB73" i="38"/>
  <c r="AA73" i="38"/>
  <c r="Z73" i="38"/>
  <c r="Y73" i="38"/>
  <c r="X73" i="38"/>
  <c r="R73" i="38"/>
  <c r="G73" i="38"/>
  <c r="C78" i="36" s="1"/>
  <c r="F73" i="38"/>
  <c r="B78" i="36" s="1"/>
  <c r="AQ72" i="38"/>
  <c r="AO72" i="38"/>
  <c r="AN72" i="38"/>
  <c r="AM72" i="38"/>
  <c r="AL72" i="38"/>
  <c r="AK72" i="38"/>
  <c r="AJ72" i="38"/>
  <c r="AI72" i="38"/>
  <c r="AH72" i="38"/>
  <c r="AG72" i="38"/>
  <c r="AF72" i="38"/>
  <c r="AE72" i="38"/>
  <c r="AD72" i="38"/>
  <c r="AC72" i="38"/>
  <c r="AB72" i="38"/>
  <c r="AA72" i="38"/>
  <c r="Z72" i="38"/>
  <c r="Y72" i="38"/>
  <c r="X72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F77" i="36" s="1"/>
  <c r="G72" i="38"/>
  <c r="F72" i="38"/>
  <c r="B77" i="36" s="1"/>
  <c r="E72" i="38"/>
  <c r="AQ71" i="38"/>
  <c r="AO71" i="38"/>
  <c r="AN71" i="38"/>
  <c r="AM71" i="38"/>
  <c r="AL71" i="38"/>
  <c r="AK71" i="38"/>
  <c r="AJ71" i="38"/>
  <c r="AI71" i="38"/>
  <c r="AH71" i="38"/>
  <c r="AG71" i="38"/>
  <c r="AD71" i="38"/>
  <c r="AC71" i="38"/>
  <c r="AB71" i="38"/>
  <c r="AA71" i="38"/>
  <c r="Z71" i="38"/>
  <c r="Y71" i="38"/>
  <c r="X71" i="38"/>
  <c r="R71" i="38"/>
  <c r="G71" i="38"/>
  <c r="C76" i="36" s="1"/>
  <c r="F71" i="38"/>
  <c r="B76" i="36" s="1"/>
  <c r="AQ70" i="38"/>
  <c r="AO70" i="38"/>
  <c r="AN70" i="38"/>
  <c r="AM70" i="38"/>
  <c r="AL70" i="38"/>
  <c r="AK70" i="38"/>
  <c r="AJ70" i="38"/>
  <c r="AI70" i="38"/>
  <c r="AH70" i="38"/>
  <c r="AG70" i="38"/>
  <c r="AF70" i="38"/>
  <c r="AD70" i="38"/>
  <c r="AC70" i="38"/>
  <c r="AB70" i="38"/>
  <c r="AA70" i="38"/>
  <c r="Z70" i="38"/>
  <c r="Y70" i="38"/>
  <c r="X70" i="38"/>
  <c r="V70" i="38"/>
  <c r="R70" i="38"/>
  <c r="L70" i="38"/>
  <c r="K70" i="38"/>
  <c r="F75" i="36" s="1"/>
  <c r="G70" i="38"/>
  <c r="C75" i="36" s="1"/>
  <c r="F70" i="38"/>
  <c r="B75" i="36" s="1"/>
  <c r="E70" i="38"/>
  <c r="AQ69" i="38"/>
  <c r="AO69" i="38"/>
  <c r="AN69" i="38"/>
  <c r="AM69" i="38"/>
  <c r="AL69" i="38"/>
  <c r="AK69" i="38"/>
  <c r="AJ69" i="38"/>
  <c r="AI69" i="38"/>
  <c r="AH69" i="38"/>
  <c r="AG69" i="38"/>
  <c r="AD69" i="38"/>
  <c r="AC69" i="38"/>
  <c r="AB69" i="38"/>
  <c r="AA69" i="38"/>
  <c r="Z69" i="38"/>
  <c r="Y69" i="38"/>
  <c r="X69" i="38"/>
  <c r="R69" i="38"/>
  <c r="G69" i="38"/>
  <c r="F69" i="38"/>
  <c r="B74" i="36" s="1"/>
  <c r="AQ68" i="38"/>
  <c r="AO68" i="38"/>
  <c r="AN68" i="38"/>
  <c r="AM68" i="38"/>
  <c r="AL68" i="38"/>
  <c r="AK68" i="38"/>
  <c r="AJ68" i="38"/>
  <c r="AI68" i="38"/>
  <c r="AH68" i="38"/>
  <c r="AG68" i="38"/>
  <c r="AF68" i="38"/>
  <c r="AD68" i="38"/>
  <c r="AC68" i="38"/>
  <c r="AB68" i="38"/>
  <c r="AA68" i="38"/>
  <c r="Z68" i="38"/>
  <c r="Y68" i="38"/>
  <c r="X68" i="38"/>
  <c r="W68" i="38"/>
  <c r="V68" i="38"/>
  <c r="U68" i="38"/>
  <c r="T68" i="38"/>
  <c r="S68" i="38"/>
  <c r="R68" i="38"/>
  <c r="P68" i="38"/>
  <c r="O68" i="38"/>
  <c r="K68" i="38"/>
  <c r="F73" i="36" s="1"/>
  <c r="G68" i="38"/>
  <c r="C73" i="36" s="1"/>
  <c r="F68" i="38"/>
  <c r="AQ67" i="38"/>
  <c r="AO67" i="38"/>
  <c r="AN67" i="38"/>
  <c r="AM67" i="38"/>
  <c r="AL67" i="38"/>
  <c r="AK67" i="38"/>
  <c r="AJ67" i="38"/>
  <c r="AI67" i="38"/>
  <c r="AH67" i="38"/>
  <c r="AG67" i="38"/>
  <c r="AD67" i="38"/>
  <c r="AC67" i="38"/>
  <c r="AB67" i="38"/>
  <c r="AA67" i="38"/>
  <c r="Z67" i="38"/>
  <c r="Y67" i="38"/>
  <c r="X67" i="38"/>
  <c r="R67" i="38"/>
  <c r="G67" i="38"/>
  <c r="C72" i="36" s="1"/>
  <c r="F67" i="38"/>
  <c r="AQ66" i="38"/>
  <c r="AO66" i="38"/>
  <c r="AN66" i="38"/>
  <c r="AM66" i="38"/>
  <c r="AL66" i="38"/>
  <c r="AK66" i="38"/>
  <c r="AJ66" i="38"/>
  <c r="AI66" i="38"/>
  <c r="AH66" i="38"/>
  <c r="AG66" i="38"/>
  <c r="AF66" i="38"/>
  <c r="AE66" i="38"/>
  <c r="AD66" i="38"/>
  <c r="AC66" i="38"/>
  <c r="AB66" i="38"/>
  <c r="AA66" i="38"/>
  <c r="Z66" i="38"/>
  <c r="Y66" i="38"/>
  <c r="X66" i="38"/>
  <c r="R66" i="38"/>
  <c r="Q66" i="38"/>
  <c r="K66" i="38"/>
  <c r="G66" i="38"/>
  <c r="C71" i="36" s="1"/>
  <c r="F66" i="38"/>
  <c r="B71" i="36" s="1"/>
  <c r="E66" i="38"/>
  <c r="AQ65" i="38"/>
  <c r="AO65" i="38"/>
  <c r="AN65" i="38"/>
  <c r="AM65" i="38"/>
  <c r="AL65" i="38"/>
  <c r="AK65" i="38"/>
  <c r="AJ65" i="38"/>
  <c r="AI65" i="38"/>
  <c r="AH65" i="38"/>
  <c r="AG65" i="38"/>
  <c r="AD65" i="38"/>
  <c r="AC65" i="38"/>
  <c r="AB65" i="38"/>
  <c r="AA65" i="38"/>
  <c r="Z65" i="38"/>
  <c r="Y65" i="38"/>
  <c r="X65" i="38"/>
  <c r="R65" i="38"/>
  <c r="G65" i="38"/>
  <c r="F65" i="38"/>
  <c r="AQ64" i="38"/>
  <c r="AO64" i="38"/>
  <c r="AN64" i="38"/>
  <c r="AM64" i="38"/>
  <c r="AL64" i="38"/>
  <c r="AK64" i="38"/>
  <c r="AJ64" i="38"/>
  <c r="AI64" i="38"/>
  <c r="AH64" i="38"/>
  <c r="AG64" i="38"/>
  <c r="AF64" i="38"/>
  <c r="AE64" i="38"/>
  <c r="AD64" i="38"/>
  <c r="AC64" i="38"/>
  <c r="AB64" i="38"/>
  <c r="AA64" i="38"/>
  <c r="Z64" i="38"/>
  <c r="Y64" i="38"/>
  <c r="X64" i="38"/>
  <c r="T64" i="38"/>
  <c r="S64" i="38"/>
  <c r="R64" i="38"/>
  <c r="O64" i="38"/>
  <c r="N64" i="38"/>
  <c r="G64" i="38"/>
  <c r="F64" i="38"/>
  <c r="AQ63" i="38"/>
  <c r="AO63" i="38"/>
  <c r="AN63" i="38"/>
  <c r="AM63" i="38"/>
  <c r="AL63" i="38"/>
  <c r="AK63" i="38"/>
  <c r="AJ63" i="38"/>
  <c r="AI63" i="38"/>
  <c r="AH63" i="38"/>
  <c r="AG63" i="38"/>
  <c r="AD63" i="38"/>
  <c r="AC63" i="38"/>
  <c r="AB63" i="38"/>
  <c r="AA63" i="38"/>
  <c r="Z63" i="38"/>
  <c r="Y63" i="38"/>
  <c r="X63" i="38"/>
  <c r="R63" i="38"/>
  <c r="G63" i="38"/>
  <c r="C68" i="36" s="1"/>
  <c r="F63" i="38"/>
  <c r="B68" i="36" s="1"/>
  <c r="AQ62" i="38"/>
  <c r="AO62" i="38"/>
  <c r="AN62" i="38"/>
  <c r="AM62" i="38"/>
  <c r="AL62" i="38"/>
  <c r="AK62" i="38"/>
  <c r="AJ62" i="38"/>
  <c r="AI62" i="38"/>
  <c r="AH62" i="38"/>
  <c r="AG62" i="38"/>
  <c r="AF62" i="38"/>
  <c r="AE62" i="38"/>
  <c r="AD62" i="38"/>
  <c r="AC62" i="38"/>
  <c r="AB62" i="38"/>
  <c r="AA62" i="38"/>
  <c r="Z62" i="38"/>
  <c r="Y62" i="38"/>
  <c r="X62" i="38"/>
  <c r="V62" i="38"/>
  <c r="R62" i="38"/>
  <c r="Q62" i="38"/>
  <c r="G62" i="38"/>
  <c r="C67" i="36" s="1"/>
  <c r="F62" i="38"/>
  <c r="B67" i="36" s="1"/>
  <c r="AQ61" i="38"/>
  <c r="AO61" i="38"/>
  <c r="AN61" i="38"/>
  <c r="AM61" i="38"/>
  <c r="AL61" i="38"/>
  <c r="AK61" i="38"/>
  <c r="AJ61" i="38"/>
  <c r="AI61" i="38"/>
  <c r="AH61" i="38"/>
  <c r="AG61" i="38"/>
  <c r="AD61" i="38"/>
  <c r="AC61" i="38"/>
  <c r="AB61" i="38"/>
  <c r="AA61" i="38"/>
  <c r="Z61" i="38"/>
  <c r="Y61" i="38"/>
  <c r="X61" i="38"/>
  <c r="R61" i="38"/>
  <c r="G61" i="38"/>
  <c r="C66" i="36" s="1"/>
  <c r="F61" i="38"/>
  <c r="AQ60" i="38"/>
  <c r="AO60" i="38"/>
  <c r="AN60" i="38"/>
  <c r="AM60" i="38"/>
  <c r="AL60" i="38"/>
  <c r="AK60" i="38"/>
  <c r="AJ60" i="38"/>
  <c r="AI60" i="38"/>
  <c r="AH60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R60" i="38"/>
  <c r="L60" i="38"/>
  <c r="K60" i="38"/>
  <c r="F65" i="36" s="1"/>
  <c r="G60" i="38"/>
  <c r="F60" i="38"/>
  <c r="B65" i="36" s="1"/>
  <c r="E60" i="38"/>
  <c r="AQ59" i="38"/>
  <c r="AO59" i="38"/>
  <c r="AN59" i="38"/>
  <c r="AM59" i="38"/>
  <c r="AL59" i="38"/>
  <c r="AK59" i="38"/>
  <c r="AJ59" i="38"/>
  <c r="AI59" i="38"/>
  <c r="AH59" i="38"/>
  <c r="AG59" i="38"/>
  <c r="AF59" i="38"/>
  <c r="AE59" i="38"/>
  <c r="AD59" i="38"/>
  <c r="AC59" i="38"/>
  <c r="AB59" i="38"/>
  <c r="AA59" i="38"/>
  <c r="Z59" i="38"/>
  <c r="Y59" i="38"/>
  <c r="X59" i="38"/>
  <c r="W59" i="38"/>
  <c r="V59" i="38"/>
  <c r="U59" i="38"/>
  <c r="T59" i="38"/>
  <c r="S59" i="38"/>
  <c r="R59" i="38"/>
  <c r="K59" i="38"/>
  <c r="G59" i="38"/>
  <c r="C64" i="36" s="1"/>
  <c r="F59" i="38"/>
  <c r="AQ58" i="38"/>
  <c r="AO58" i="38"/>
  <c r="AN58" i="38"/>
  <c r="AM58" i="38"/>
  <c r="AL58" i="38"/>
  <c r="AK58" i="38"/>
  <c r="AJ58" i="38"/>
  <c r="AI58" i="38"/>
  <c r="AH58" i="38"/>
  <c r="AG58" i="38"/>
  <c r="AF58" i="38"/>
  <c r="AE58" i="38"/>
  <c r="AD58" i="38"/>
  <c r="AC58" i="38"/>
  <c r="AB58" i="38"/>
  <c r="AA58" i="38"/>
  <c r="Z58" i="38"/>
  <c r="Y58" i="38"/>
  <c r="X58" i="38"/>
  <c r="W58" i="38"/>
  <c r="S58" i="38"/>
  <c r="R58" i="38"/>
  <c r="G58" i="38"/>
  <c r="C63" i="36" s="1"/>
  <c r="F58" i="38"/>
  <c r="AQ57" i="38"/>
  <c r="AO57" i="38"/>
  <c r="AN57" i="38"/>
  <c r="AM57" i="38"/>
  <c r="AL57" i="38"/>
  <c r="AK57" i="38"/>
  <c r="AJ57" i="38"/>
  <c r="AI57" i="38"/>
  <c r="AH57" i="38"/>
  <c r="AG57" i="38"/>
  <c r="AF57" i="38"/>
  <c r="AE57" i="38"/>
  <c r="AD57" i="38"/>
  <c r="AC57" i="38"/>
  <c r="AB57" i="38"/>
  <c r="AA57" i="38"/>
  <c r="Z57" i="38"/>
  <c r="Y57" i="38"/>
  <c r="X57" i="38"/>
  <c r="W57" i="38"/>
  <c r="R57" i="38"/>
  <c r="G57" i="38"/>
  <c r="C62" i="36" s="1"/>
  <c r="F57" i="38"/>
  <c r="B57" i="38" s="1"/>
  <c r="AQ56" i="38"/>
  <c r="AO56" i="38"/>
  <c r="AN56" i="38"/>
  <c r="AM56" i="38"/>
  <c r="AL56" i="38"/>
  <c r="AK56" i="38"/>
  <c r="AJ56" i="38"/>
  <c r="AI56" i="38"/>
  <c r="AH56" i="38"/>
  <c r="AG56" i="38"/>
  <c r="AF56" i="38"/>
  <c r="AE56" i="38"/>
  <c r="AD56" i="38"/>
  <c r="AC56" i="38"/>
  <c r="AB56" i="38"/>
  <c r="AA56" i="38"/>
  <c r="Z56" i="38"/>
  <c r="Y56" i="38"/>
  <c r="X56" i="38"/>
  <c r="W56" i="38"/>
  <c r="S56" i="38"/>
  <c r="R56" i="38"/>
  <c r="K56" i="38"/>
  <c r="F61" i="36" s="1"/>
  <c r="G56" i="38"/>
  <c r="F56" i="38"/>
  <c r="B56" i="38" s="1"/>
  <c r="R61" i="36" s="1"/>
  <c r="A61" i="36" s="1"/>
  <c r="AQ55" i="38"/>
  <c r="AO55" i="38"/>
  <c r="AN55" i="38"/>
  <c r="AM55" i="38"/>
  <c r="AL55" i="38"/>
  <c r="AK55" i="38"/>
  <c r="AJ55" i="38"/>
  <c r="AI55" i="38"/>
  <c r="AH55" i="38"/>
  <c r="AG55" i="38"/>
  <c r="AF55" i="38"/>
  <c r="AE55" i="38"/>
  <c r="AD55" i="38"/>
  <c r="AC55" i="38"/>
  <c r="AB55" i="38"/>
  <c r="AA55" i="38"/>
  <c r="Z55" i="38"/>
  <c r="Y55" i="38"/>
  <c r="X55" i="38"/>
  <c r="W55" i="38"/>
  <c r="S55" i="38"/>
  <c r="R55" i="38"/>
  <c r="M55" i="38"/>
  <c r="K55" i="38"/>
  <c r="F60" i="36" s="1"/>
  <c r="G55" i="38"/>
  <c r="C60" i="36" s="1"/>
  <c r="F55" i="38"/>
  <c r="B60" i="36" s="1"/>
  <c r="AQ54" i="38"/>
  <c r="AO54" i="38"/>
  <c r="AN54" i="38"/>
  <c r="AM54" i="38"/>
  <c r="AL54" i="38"/>
  <c r="AK54" i="38"/>
  <c r="AJ54" i="38"/>
  <c r="AI54" i="38"/>
  <c r="AH54" i="38"/>
  <c r="AG54" i="38"/>
  <c r="AF54" i="38"/>
  <c r="AE54" i="38"/>
  <c r="AD54" i="38"/>
  <c r="AC54" i="38"/>
  <c r="AB54" i="38"/>
  <c r="AA54" i="38"/>
  <c r="Z54" i="38"/>
  <c r="Y54" i="38"/>
  <c r="X54" i="38"/>
  <c r="W54" i="38"/>
  <c r="V54" i="38"/>
  <c r="U54" i="38"/>
  <c r="T54" i="38"/>
  <c r="R54" i="38"/>
  <c r="Q54" i="38"/>
  <c r="P54" i="38"/>
  <c r="O54" i="38"/>
  <c r="N54" i="38"/>
  <c r="M54" i="38"/>
  <c r="L54" i="38"/>
  <c r="K54" i="38"/>
  <c r="G54" i="38"/>
  <c r="F54" i="38"/>
  <c r="B59" i="36" s="1"/>
  <c r="AQ53" i="38"/>
  <c r="AO53" i="38"/>
  <c r="AN53" i="38"/>
  <c r="AM53" i="38"/>
  <c r="AL53" i="38"/>
  <c r="AK53" i="38"/>
  <c r="AJ53" i="38"/>
  <c r="AI53" i="38"/>
  <c r="AH53" i="38"/>
  <c r="AG53" i="38"/>
  <c r="AF53" i="38"/>
  <c r="AE53" i="38"/>
  <c r="AD53" i="38"/>
  <c r="AC53" i="38"/>
  <c r="AB53" i="38"/>
  <c r="AA53" i="38"/>
  <c r="Z53" i="38"/>
  <c r="Y53" i="38"/>
  <c r="X53" i="38"/>
  <c r="T53" i="38"/>
  <c r="R53" i="38"/>
  <c r="P53" i="38"/>
  <c r="O53" i="38"/>
  <c r="L53" i="38"/>
  <c r="K53" i="38"/>
  <c r="F58" i="36" s="1"/>
  <c r="G53" i="38"/>
  <c r="C58" i="36" s="1"/>
  <c r="F53" i="38"/>
  <c r="B58" i="36" s="1"/>
  <c r="AQ52" i="38"/>
  <c r="AO52" i="38"/>
  <c r="AN52" i="38"/>
  <c r="AM52" i="38"/>
  <c r="AL52" i="38"/>
  <c r="AK52" i="38"/>
  <c r="AJ52" i="38"/>
  <c r="AI52" i="38"/>
  <c r="AH52" i="38"/>
  <c r="AG52" i="38"/>
  <c r="AF52" i="38"/>
  <c r="AE52" i="38"/>
  <c r="AD52" i="38"/>
  <c r="AC52" i="38"/>
  <c r="AB52" i="38"/>
  <c r="AA52" i="38"/>
  <c r="Z52" i="38"/>
  <c r="Y52" i="38"/>
  <c r="X52" i="38"/>
  <c r="W52" i="38"/>
  <c r="V52" i="38"/>
  <c r="U52" i="38"/>
  <c r="S52" i="38"/>
  <c r="R52" i="38"/>
  <c r="N52" i="38"/>
  <c r="K52" i="38"/>
  <c r="F57" i="36" s="1"/>
  <c r="G52" i="38"/>
  <c r="C57" i="36" s="1"/>
  <c r="F52" i="38"/>
  <c r="B52" i="38" s="1"/>
  <c r="R57" i="36" s="1"/>
  <c r="A57" i="36" s="1"/>
  <c r="AQ51" i="38"/>
  <c r="AO51" i="38"/>
  <c r="AN51" i="38"/>
  <c r="AM51" i="38"/>
  <c r="AL51" i="38"/>
  <c r="AK51" i="38"/>
  <c r="AJ51" i="38"/>
  <c r="AI51" i="38"/>
  <c r="AH51" i="38"/>
  <c r="AG51" i="38"/>
  <c r="AF51" i="38"/>
  <c r="AE51" i="38"/>
  <c r="AD51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K51" i="38"/>
  <c r="F56" i="36" s="1"/>
  <c r="G51" i="38"/>
  <c r="C56" i="36" s="1"/>
  <c r="F51" i="38"/>
  <c r="B51" i="38" s="1"/>
  <c r="R56" i="36" s="1"/>
  <c r="A56" i="36" s="1"/>
  <c r="AQ50" i="38"/>
  <c r="AO50" i="38"/>
  <c r="AN50" i="38"/>
  <c r="AM50" i="38"/>
  <c r="AL50" i="38"/>
  <c r="AK50" i="38"/>
  <c r="AJ50" i="38"/>
  <c r="AI50" i="38"/>
  <c r="AH50" i="38"/>
  <c r="AG50" i="38"/>
  <c r="AD50" i="38"/>
  <c r="AC50" i="38"/>
  <c r="AB50" i="38"/>
  <c r="AA50" i="38"/>
  <c r="Z50" i="38"/>
  <c r="Y50" i="38"/>
  <c r="X50" i="38"/>
  <c r="G50" i="38"/>
  <c r="C55" i="36" s="1"/>
  <c r="F50" i="38"/>
  <c r="B55" i="36" s="1"/>
  <c r="AQ49" i="38"/>
  <c r="AO49" i="38"/>
  <c r="AN49" i="38"/>
  <c r="AM49" i="38"/>
  <c r="AL49" i="38"/>
  <c r="AK49" i="38"/>
  <c r="AJ49" i="38"/>
  <c r="AI49" i="38"/>
  <c r="AH49" i="38"/>
  <c r="AG49" i="38"/>
  <c r="AD49" i="38"/>
  <c r="AC49" i="38"/>
  <c r="AB49" i="38"/>
  <c r="AA49" i="38"/>
  <c r="Z49" i="38"/>
  <c r="Y49" i="38"/>
  <c r="X49" i="38"/>
  <c r="V49" i="38"/>
  <c r="U49" i="38"/>
  <c r="T49" i="38"/>
  <c r="R49" i="38"/>
  <c r="Q49" i="38"/>
  <c r="M49" i="38"/>
  <c r="G49" i="38"/>
  <c r="F49" i="38"/>
  <c r="AQ48" i="38"/>
  <c r="AO48" i="38"/>
  <c r="AN48" i="38"/>
  <c r="AM48" i="38"/>
  <c r="AL48" i="38"/>
  <c r="AK48" i="38"/>
  <c r="AJ48" i="38"/>
  <c r="AI48" i="38"/>
  <c r="AH48" i="38"/>
  <c r="AG48" i="38"/>
  <c r="AF48" i="38"/>
  <c r="AE48" i="38"/>
  <c r="AD48" i="38"/>
  <c r="AC48" i="38"/>
  <c r="AB48" i="38"/>
  <c r="AA48" i="38"/>
  <c r="Z48" i="38"/>
  <c r="Y48" i="38"/>
  <c r="X48" i="38"/>
  <c r="U48" i="38"/>
  <c r="R48" i="38"/>
  <c r="Q48" i="38"/>
  <c r="P48" i="38"/>
  <c r="M48" i="38"/>
  <c r="L48" i="38"/>
  <c r="K48" i="38"/>
  <c r="F53" i="36" s="1"/>
  <c r="G48" i="38"/>
  <c r="C53" i="36" s="1"/>
  <c r="F48" i="38"/>
  <c r="AQ47" i="38"/>
  <c r="AO47" i="38"/>
  <c r="AN47" i="38"/>
  <c r="AM47" i="38"/>
  <c r="AL47" i="38"/>
  <c r="AK47" i="38"/>
  <c r="AJ47" i="38"/>
  <c r="AI47" i="38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M47" i="38"/>
  <c r="L47" i="38"/>
  <c r="K47" i="38"/>
  <c r="F52" i="36" s="1"/>
  <c r="G47" i="38"/>
  <c r="F47" i="38"/>
  <c r="AQ46" i="38"/>
  <c r="AO46" i="38"/>
  <c r="AN46" i="38"/>
  <c r="AM46" i="38"/>
  <c r="AL46" i="38"/>
  <c r="AK46" i="38"/>
  <c r="AJ46" i="38"/>
  <c r="AI46" i="38"/>
  <c r="AH46" i="38"/>
  <c r="AG46" i="38"/>
  <c r="AF46" i="38"/>
  <c r="AE46" i="38"/>
  <c r="AD46" i="38"/>
  <c r="AC46" i="38"/>
  <c r="AB46" i="38"/>
  <c r="AA46" i="38"/>
  <c r="Z46" i="38"/>
  <c r="Y46" i="38"/>
  <c r="X46" i="38"/>
  <c r="K46" i="38"/>
  <c r="F51" i="36" s="1"/>
  <c r="G46" i="38"/>
  <c r="C51" i="36" s="1"/>
  <c r="F46" i="38"/>
  <c r="B51" i="36" s="1"/>
  <c r="AQ45" i="38"/>
  <c r="AO45" i="38"/>
  <c r="AN45" i="38"/>
  <c r="AM45" i="38"/>
  <c r="AL45" i="38"/>
  <c r="AK45" i="38"/>
  <c r="AJ45" i="38"/>
  <c r="AI45" i="38"/>
  <c r="AH45" i="38"/>
  <c r="AG45" i="38"/>
  <c r="AF45" i="38"/>
  <c r="AD45" i="38"/>
  <c r="AC45" i="38"/>
  <c r="AB45" i="38"/>
  <c r="AA45" i="38"/>
  <c r="Z45" i="38"/>
  <c r="Y45" i="38"/>
  <c r="X45" i="38"/>
  <c r="T45" i="38"/>
  <c r="S45" i="38"/>
  <c r="R45" i="38"/>
  <c r="P45" i="38"/>
  <c r="O45" i="38"/>
  <c r="L45" i="38"/>
  <c r="G45" i="38"/>
  <c r="C50" i="36" s="1"/>
  <c r="F45" i="38"/>
  <c r="B50" i="36" s="1"/>
  <c r="E45" i="38"/>
  <c r="V123" i="38"/>
  <c r="U123" i="38"/>
  <c r="Q123" i="38"/>
  <c r="M123" i="38"/>
  <c r="K41" i="38"/>
  <c r="F44" i="36" s="1"/>
  <c r="W122" i="38"/>
  <c r="U81" i="38"/>
  <c r="S122" i="38"/>
  <c r="E122" i="38"/>
  <c r="AJ39" i="38"/>
  <c r="AJ121" i="38" s="1"/>
  <c r="AI39" i="38"/>
  <c r="AI80" i="38" s="1"/>
  <c r="AH39" i="38"/>
  <c r="N121" i="38"/>
  <c r="E121" i="38"/>
  <c r="AJ38" i="38"/>
  <c r="AJ79" i="38" s="1"/>
  <c r="AI38" i="38"/>
  <c r="AH38" i="38"/>
  <c r="Q120" i="38"/>
  <c r="O120" i="38"/>
  <c r="M120" i="38"/>
  <c r="AJ37" i="38"/>
  <c r="AJ119" i="38" s="1"/>
  <c r="AI37" i="38"/>
  <c r="AH37" i="38"/>
  <c r="AH119" i="38" s="1"/>
  <c r="N119" i="38"/>
  <c r="E119" i="38"/>
  <c r="Q118" i="38"/>
  <c r="P118" i="38"/>
  <c r="N77" i="38"/>
  <c r="M118" i="38"/>
  <c r="L118" i="38"/>
  <c r="AJ35" i="38"/>
  <c r="AI35" i="38"/>
  <c r="AI159" i="38" s="1"/>
  <c r="AH35" i="38"/>
  <c r="AH159" i="38" s="1"/>
  <c r="O117" i="38"/>
  <c r="N117" i="38"/>
  <c r="L117" i="38"/>
  <c r="E117" i="38"/>
  <c r="AJ34" i="38"/>
  <c r="AI34" i="38"/>
  <c r="AH34" i="38"/>
  <c r="AH116" i="38" s="1"/>
  <c r="AJ33" i="38"/>
  <c r="AJ74" i="38" s="1"/>
  <c r="AI33" i="38"/>
  <c r="AH33" i="38"/>
  <c r="E115" i="38"/>
  <c r="AF32" i="38"/>
  <c r="AF114" i="38" s="1"/>
  <c r="AE32" i="38"/>
  <c r="W32" i="38"/>
  <c r="V32" i="38"/>
  <c r="U32" i="38"/>
  <c r="T32" i="38"/>
  <c r="S32" i="38"/>
  <c r="Q32" i="38"/>
  <c r="Q114" i="38" s="1"/>
  <c r="P32" i="38"/>
  <c r="P114" i="38" s="1"/>
  <c r="O32" i="38"/>
  <c r="N32" i="38"/>
  <c r="M32" i="38"/>
  <c r="M114" i="38" s="1"/>
  <c r="L32" i="38"/>
  <c r="L114" i="38" s="1"/>
  <c r="K32" i="38"/>
  <c r="F35" i="36" s="1"/>
  <c r="E32" i="38"/>
  <c r="E114" i="38" s="1"/>
  <c r="E113" i="38"/>
  <c r="AE30" i="38"/>
  <c r="T30" i="38"/>
  <c r="S30" i="38"/>
  <c r="O30" i="38"/>
  <c r="O112" i="38" s="1"/>
  <c r="K30" i="38"/>
  <c r="E30" i="38"/>
  <c r="AF30" i="38"/>
  <c r="AE70" i="38"/>
  <c r="U30" i="38"/>
  <c r="T111" i="38"/>
  <c r="Q70" i="38"/>
  <c r="P30" i="38"/>
  <c r="P71" i="38" s="1"/>
  <c r="AF28" i="38"/>
  <c r="AF110" i="38" s="1"/>
  <c r="W28" i="38"/>
  <c r="W110" i="38" s="1"/>
  <c r="V28" i="38"/>
  <c r="V69" i="38" s="1"/>
  <c r="U28" i="38"/>
  <c r="K31" i="36" s="1"/>
  <c r="K74" i="36" s="1"/>
  <c r="K117" i="36" s="1"/>
  <c r="K160" i="36" s="1"/>
  <c r="T28" i="38"/>
  <c r="S28" i="38"/>
  <c r="S110" i="38" s="1"/>
  <c r="P28" i="38"/>
  <c r="O28" i="38"/>
  <c r="O110" i="38" s="1"/>
  <c r="L28" i="38"/>
  <c r="K28" i="38"/>
  <c r="F31" i="36" s="1"/>
  <c r="E28" i="38"/>
  <c r="E110" i="38" s="1"/>
  <c r="AF109" i="38"/>
  <c r="L68" i="38"/>
  <c r="E109" i="38"/>
  <c r="AF26" i="38"/>
  <c r="AE26" i="38"/>
  <c r="W26" i="38"/>
  <c r="W108" i="38" s="1"/>
  <c r="T26" i="38"/>
  <c r="S26" i="38"/>
  <c r="S108" i="38" s="1"/>
  <c r="O26" i="38"/>
  <c r="O108" i="38" s="1"/>
  <c r="N26" i="38"/>
  <c r="N108" i="38" s="1"/>
  <c r="K26" i="38"/>
  <c r="V66" i="38"/>
  <c r="U26" i="38"/>
  <c r="K29" i="36" s="1"/>
  <c r="K72" i="36" s="1"/>
  <c r="K115" i="36" s="1"/>
  <c r="K158" i="36" s="1"/>
  <c r="T66" i="38"/>
  <c r="L66" i="38"/>
  <c r="E107" i="38"/>
  <c r="AF24" i="38"/>
  <c r="AF106" i="38" s="1"/>
  <c r="AE24" i="38"/>
  <c r="AE106" i="38" s="1"/>
  <c r="W24" i="38"/>
  <c r="W106" i="38" s="1"/>
  <c r="V24" i="38"/>
  <c r="T24" i="38"/>
  <c r="S24" i="38"/>
  <c r="S106" i="38" s="1"/>
  <c r="Q24" i="38"/>
  <c r="Q106" i="38" s="1"/>
  <c r="N24" i="38"/>
  <c r="N65" i="38" s="1"/>
  <c r="M24" i="38"/>
  <c r="M106" i="38" s="1"/>
  <c r="K24" i="38"/>
  <c r="S147" i="38"/>
  <c r="AF22" i="38"/>
  <c r="AE22" i="38"/>
  <c r="AE104" i="38" s="1"/>
  <c r="W22" i="38"/>
  <c r="W104" i="38" s="1"/>
  <c r="V22" i="38"/>
  <c r="V63" i="38" s="1"/>
  <c r="T22" i="38"/>
  <c r="S22" i="38"/>
  <c r="S104" i="38" s="1"/>
  <c r="Q22" i="38"/>
  <c r="Q104" i="38" s="1"/>
  <c r="N22" i="38"/>
  <c r="N104" i="38" s="1"/>
  <c r="M22" i="38"/>
  <c r="M104" i="38" s="1"/>
  <c r="K22" i="38"/>
  <c r="E22" i="38"/>
  <c r="V145" i="38"/>
  <c r="Q103" i="38"/>
  <c r="M103" i="38"/>
  <c r="E103" i="38"/>
  <c r="AF20" i="38"/>
  <c r="AF102" i="38" s="1"/>
  <c r="AE20" i="38"/>
  <c r="W20" i="38"/>
  <c r="V20" i="38"/>
  <c r="V61" i="38" s="1"/>
  <c r="T20" i="38"/>
  <c r="T102" i="38" s="1"/>
  <c r="S20" i="38"/>
  <c r="Q20" i="38"/>
  <c r="Q61" i="38" s="1"/>
  <c r="N20" i="38"/>
  <c r="M20" i="38"/>
  <c r="M61" i="38" s="1"/>
  <c r="E20" i="38"/>
  <c r="E61" i="38" s="1"/>
  <c r="W143" i="38"/>
  <c r="S60" i="38"/>
  <c r="N60" i="38"/>
  <c r="M60" i="38"/>
  <c r="W99" i="38"/>
  <c r="T58" i="38"/>
  <c r="S99" i="38"/>
  <c r="M99" i="38"/>
  <c r="K17" i="38"/>
  <c r="K58" i="38" s="1"/>
  <c r="F63" i="36" s="1"/>
  <c r="R20" i="36"/>
  <c r="A20" i="36" s="1"/>
  <c r="W98" i="38"/>
  <c r="V57" i="38"/>
  <c r="U98" i="38"/>
  <c r="S98" i="38"/>
  <c r="K16" i="38"/>
  <c r="W97" i="38"/>
  <c r="T56" i="38"/>
  <c r="S97" i="38"/>
  <c r="E56" i="38"/>
  <c r="W96" i="38"/>
  <c r="U96" i="38"/>
  <c r="T55" i="38"/>
  <c r="S96" i="38"/>
  <c r="N96" i="38"/>
  <c r="M96" i="38"/>
  <c r="L55" i="38"/>
  <c r="E55" i="38"/>
  <c r="AF94" i="38"/>
  <c r="AE94" i="38"/>
  <c r="U94" i="38"/>
  <c r="T94" i="38"/>
  <c r="S94" i="38"/>
  <c r="P94" i="38"/>
  <c r="O94" i="38"/>
  <c r="L94" i="38"/>
  <c r="E94" i="38"/>
  <c r="W93" i="38"/>
  <c r="V93" i="38"/>
  <c r="U93" i="38"/>
  <c r="S93" i="38"/>
  <c r="Q52" i="38"/>
  <c r="P93" i="38"/>
  <c r="O93" i="38"/>
  <c r="N93" i="38"/>
  <c r="M52" i="38"/>
  <c r="L93" i="38"/>
  <c r="R14" i="36"/>
  <c r="A14" i="36" s="1"/>
  <c r="Q51" i="38"/>
  <c r="P92" i="38"/>
  <c r="O92" i="38"/>
  <c r="N51" i="38"/>
  <c r="M92" i="38"/>
  <c r="L92" i="38"/>
  <c r="V9" i="38"/>
  <c r="V91" i="38" s="1"/>
  <c r="R91" i="38"/>
  <c r="O9" i="38"/>
  <c r="O91" i="38" s="1"/>
  <c r="K9" i="38"/>
  <c r="K91" i="38" s="1"/>
  <c r="F98" i="36" s="1"/>
  <c r="AF49" i="38"/>
  <c r="AE90" i="38"/>
  <c r="W9" i="38"/>
  <c r="V90" i="38"/>
  <c r="U9" i="38"/>
  <c r="T90" i="38"/>
  <c r="P49" i="38"/>
  <c r="O90" i="38"/>
  <c r="N90" i="38"/>
  <c r="L49" i="38"/>
  <c r="K90" i="38"/>
  <c r="V89" i="38"/>
  <c r="U89" i="38"/>
  <c r="T89" i="38"/>
  <c r="Q89" i="38"/>
  <c r="P89" i="38"/>
  <c r="M89" i="38"/>
  <c r="E89" i="38"/>
  <c r="R10" i="36"/>
  <c r="A10" i="36" s="1"/>
  <c r="Q88" i="38"/>
  <c r="P88" i="38"/>
  <c r="M88" i="38"/>
  <c r="E88" i="38"/>
  <c r="U5" i="38"/>
  <c r="U87" i="38" s="1"/>
  <c r="T5" i="38"/>
  <c r="T87" i="38" s="1"/>
  <c r="R87" i="38"/>
  <c r="Q5" i="38"/>
  <c r="Q87" i="38" s="1"/>
  <c r="P5" i="38"/>
  <c r="P87" i="38" s="1"/>
  <c r="M5" i="38"/>
  <c r="M87" i="38" s="1"/>
  <c r="L5" i="38"/>
  <c r="L87" i="38" s="1"/>
  <c r="AF86" i="38"/>
  <c r="AE86" i="38"/>
  <c r="W45" i="38"/>
  <c r="V45" i="38"/>
  <c r="U86" i="38"/>
  <c r="T86" i="38"/>
  <c r="Q86" i="38"/>
  <c r="P86" i="38"/>
  <c r="M86" i="38"/>
  <c r="L86" i="38"/>
  <c r="S173" i="36"/>
  <c r="R173" i="36"/>
  <c r="A173" i="36" s="1"/>
  <c r="D173" i="36"/>
  <c r="C173" i="36"/>
  <c r="B173" i="36"/>
  <c r="S172" i="36"/>
  <c r="R172" i="36"/>
  <c r="A172" i="36" s="1"/>
  <c r="D172" i="36"/>
  <c r="C172" i="36"/>
  <c r="B172" i="36"/>
  <c r="S171" i="36"/>
  <c r="R171" i="36"/>
  <c r="A171" i="36" s="1"/>
  <c r="F171" i="36"/>
  <c r="D171" i="36"/>
  <c r="C171" i="36"/>
  <c r="B171" i="36"/>
  <c r="S170" i="36"/>
  <c r="R170" i="36"/>
  <c r="A170" i="36" s="1"/>
  <c r="F170" i="36"/>
  <c r="D170" i="36"/>
  <c r="C170" i="36"/>
  <c r="B170" i="36"/>
  <c r="S169" i="36"/>
  <c r="R169" i="36"/>
  <c r="A169" i="36" s="1"/>
  <c r="F169" i="36"/>
  <c r="D169" i="36"/>
  <c r="C169" i="36"/>
  <c r="B169" i="36"/>
  <c r="S168" i="36"/>
  <c r="R168" i="36"/>
  <c r="A168" i="36" s="1"/>
  <c r="F168" i="36"/>
  <c r="D168" i="36"/>
  <c r="C168" i="36"/>
  <c r="B168" i="36"/>
  <c r="S167" i="36"/>
  <c r="R167" i="36"/>
  <c r="A167" i="36" s="1"/>
  <c r="F167" i="36"/>
  <c r="D167" i="36"/>
  <c r="C167" i="36"/>
  <c r="B167" i="36"/>
  <c r="S166" i="36"/>
  <c r="R166" i="36"/>
  <c r="A166" i="36" s="1"/>
  <c r="F166" i="36"/>
  <c r="D166" i="36"/>
  <c r="C166" i="36"/>
  <c r="B166" i="36"/>
  <c r="S165" i="36"/>
  <c r="R165" i="36"/>
  <c r="A165" i="36" s="1"/>
  <c r="F165" i="36"/>
  <c r="D165" i="36"/>
  <c r="C165" i="36"/>
  <c r="B165" i="36"/>
  <c r="S164" i="36"/>
  <c r="R164" i="36"/>
  <c r="A164" i="36" s="1"/>
  <c r="F164" i="36"/>
  <c r="D164" i="36"/>
  <c r="C164" i="36"/>
  <c r="B164" i="36"/>
  <c r="S163" i="36"/>
  <c r="R163" i="36"/>
  <c r="A163" i="36" s="1"/>
  <c r="F163" i="36"/>
  <c r="D163" i="36"/>
  <c r="C163" i="36"/>
  <c r="B163" i="36"/>
  <c r="S162" i="36"/>
  <c r="R162" i="36"/>
  <c r="A162" i="36" s="1"/>
  <c r="F162" i="36"/>
  <c r="D162" i="36"/>
  <c r="C162" i="36"/>
  <c r="B162" i="36"/>
  <c r="S161" i="36"/>
  <c r="R161" i="36"/>
  <c r="A161" i="36" s="1"/>
  <c r="F161" i="36"/>
  <c r="D161" i="36"/>
  <c r="C161" i="36"/>
  <c r="B161" i="36"/>
  <c r="S160" i="36"/>
  <c r="R160" i="36"/>
  <c r="A160" i="36" s="1"/>
  <c r="D160" i="36"/>
  <c r="C160" i="36"/>
  <c r="B160" i="36"/>
  <c r="S159" i="36"/>
  <c r="R159" i="36"/>
  <c r="A159" i="36" s="1"/>
  <c r="F159" i="36"/>
  <c r="D159" i="36"/>
  <c r="C159" i="36"/>
  <c r="B159" i="36"/>
  <c r="S158" i="36"/>
  <c r="R158" i="36"/>
  <c r="A158" i="36" s="1"/>
  <c r="F158" i="36"/>
  <c r="D158" i="36"/>
  <c r="C158" i="36"/>
  <c r="B158" i="36"/>
  <c r="S157" i="36"/>
  <c r="R157" i="36"/>
  <c r="A157" i="36" s="1"/>
  <c r="F157" i="36"/>
  <c r="D157" i="36"/>
  <c r="C157" i="36"/>
  <c r="B157" i="36"/>
  <c r="S156" i="36"/>
  <c r="R156" i="36"/>
  <c r="A156" i="36" s="1"/>
  <c r="D156" i="36"/>
  <c r="C156" i="36"/>
  <c r="B156" i="36"/>
  <c r="S155" i="36"/>
  <c r="R155" i="36"/>
  <c r="A155" i="36" s="1"/>
  <c r="F155" i="36"/>
  <c r="D155" i="36"/>
  <c r="C155" i="36"/>
  <c r="B155" i="36"/>
  <c r="S154" i="36"/>
  <c r="R154" i="36"/>
  <c r="A154" i="36" s="1"/>
  <c r="D154" i="36"/>
  <c r="C154" i="36"/>
  <c r="B154" i="36"/>
  <c r="S153" i="36"/>
  <c r="R153" i="36"/>
  <c r="A153" i="36" s="1"/>
  <c r="F153" i="36"/>
  <c r="D153" i="36"/>
  <c r="C153" i="36"/>
  <c r="B153" i="36"/>
  <c r="S152" i="36"/>
  <c r="R152" i="36"/>
  <c r="A152" i="36" s="1"/>
  <c r="D152" i="36"/>
  <c r="C152" i="36"/>
  <c r="B152" i="36"/>
  <c r="S151" i="36"/>
  <c r="R151" i="36"/>
  <c r="A151" i="36" s="1"/>
  <c r="F151" i="36"/>
  <c r="D151" i="36"/>
  <c r="C151" i="36"/>
  <c r="B151" i="36"/>
  <c r="S150" i="36"/>
  <c r="R150" i="36"/>
  <c r="A150" i="36" s="1"/>
  <c r="F150" i="36"/>
  <c r="D150" i="36"/>
  <c r="C150" i="36"/>
  <c r="B150" i="36"/>
  <c r="S149" i="36"/>
  <c r="R149" i="36"/>
  <c r="A149" i="36" s="1"/>
  <c r="F149" i="36"/>
  <c r="D149" i="36"/>
  <c r="C149" i="36"/>
  <c r="B149" i="36"/>
  <c r="S148" i="36"/>
  <c r="R148" i="36"/>
  <c r="A148" i="36" s="1"/>
  <c r="F148" i="36"/>
  <c r="D148" i="36"/>
  <c r="C148" i="36"/>
  <c r="B148" i="36"/>
  <c r="S147" i="36"/>
  <c r="R147" i="36"/>
  <c r="A147" i="36" s="1"/>
  <c r="F147" i="36"/>
  <c r="D147" i="36"/>
  <c r="C147" i="36"/>
  <c r="B147" i="36"/>
  <c r="S146" i="36"/>
  <c r="R146" i="36"/>
  <c r="A146" i="36" s="1"/>
  <c r="F146" i="36"/>
  <c r="D146" i="36"/>
  <c r="C146" i="36"/>
  <c r="B146" i="36"/>
  <c r="S145" i="36"/>
  <c r="R145" i="36"/>
  <c r="A145" i="36" s="1"/>
  <c r="F145" i="36"/>
  <c r="D145" i="36"/>
  <c r="C145" i="36"/>
  <c r="B145" i="36"/>
  <c r="S144" i="36"/>
  <c r="R144" i="36"/>
  <c r="A144" i="36" s="1"/>
  <c r="F144" i="36"/>
  <c r="D144" i="36"/>
  <c r="C144" i="36"/>
  <c r="B144" i="36"/>
  <c r="S143" i="36"/>
  <c r="F143" i="36"/>
  <c r="D143" i="36"/>
  <c r="C143" i="36"/>
  <c r="B143" i="36"/>
  <c r="S142" i="36"/>
  <c r="R142" i="36"/>
  <c r="A142" i="36" s="1"/>
  <c r="F142" i="36"/>
  <c r="D142" i="36"/>
  <c r="C142" i="36"/>
  <c r="B142" i="36"/>
  <c r="S141" i="36"/>
  <c r="R141" i="36"/>
  <c r="A141" i="36" s="1"/>
  <c r="D141" i="36"/>
  <c r="C141" i="36"/>
  <c r="B141" i="36"/>
  <c r="S140" i="36"/>
  <c r="R140" i="36"/>
  <c r="A140" i="36" s="1"/>
  <c r="F140" i="36"/>
  <c r="D140" i="36"/>
  <c r="C140" i="36"/>
  <c r="B140" i="36"/>
  <c r="S139" i="36"/>
  <c r="R139" i="36"/>
  <c r="A139" i="36" s="1"/>
  <c r="F139" i="36"/>
  <c r="D139" i="36"/>
  <c r="C139" i="36"/>
  <c r="B139" i="36"/>
  <c r="S138" i="36"/>
  <c r="R138" i="36"/>
  <c r="A138" i="36" s="1"/>
  <c r="F138" i="36"/>
  <c r="D138" i="36"/>
  <c r="C138" i="36"/>
  <c r="B138" i="36"/>
  <c r="S137" i="36"/>
  <c r="R137" i="36"/>
  <c r="A137" i="36" s="1"/>
  <c r="D137" i="36"/>
  <c r="C137" i="36"/>
  <c r="B137" i="36"/>
  <c r="S136" i="36"/>
  <c r="R136" i="36"/>
  <c r="A136" i="36" s="1"/>
  <c r="F136" i="36"/>
  <c r="D136" i="36"/>
  <c r="C136" i="36"/>
  <c r="B136" i="36"/>
  <c r="R135" i="36"/>
  <c r="A135" i="36" s="1"/>
  <c r="D135" i="36"/>
  <c r="C135" i="36"/>
  <c r="S130" i="36"/>
  <c r="R130" i="36"/>
  <c r="A130" i="36" s="1"/>
  <c r="D130" i="36"/>
  <c r="C130" i="36"/>
  <c r="B130" i="36"/>
  <c r="S129" i="36"/>
  <c r="R129" i="36"/>
  <c r="A129" i="36" s="1"/>
  <c r="D129" i="36"/>
  <c r="B129" i="36"/>
  <c r="S128" i="36"/>
  <c r="R128" i="36"/>
  <c r="A128" i="36" s="1"/>
  <c r="F128" i="36"/>
  <c r="D128" i="36"/>
  <c r="B128" i="36"/>
  <c r="S127" i="36"/>
  <c r="R127" i="36"/>
  <c r="A127" i="36" s="1"/>
  <c r="F127" i="36"/>
  <c r="D127" i="36"/>
  <c r="C127" i="36"/>
  <c r="B127" i="36"/>
  <c r="S126" i="36"/>
  <c r="R126" i="36"/>
  <c r="A126" i="36" s="1"/>
  <c r="D126" i="36"/>
  <c r="S125" i="36"/>
  <c r="R125" i="36"/>
  <c r="A125" i="36" s="1"/>
  <c r="D125" i="36"/>
  <c r="C125" i="36"/>
  <c r="B125" i="36"/>
  <c r="S124" i="36"/>
  <c r="R124" i="36"/>
  <c r="A124" i="36" s="1"/>
  <c r="F124" i="36"/>
  <c r="D124" i="36"/>
  <c r="C124" i="36"/>
  <c r="S123" i="36"/>
  <c r="R123" i="36"/>
  <c r="A123" i="36" s="1"/>
  <c r="D123" i="36"/>
  <c r="C123" i="36"/>
  <c r="B123" i="36"/>
  <c r="S122" i="36"/>
  <c r="R122" i="36"/>
  <c r="A122" i="36" s="1"/>
  <c r="F122" i="36"/>
  <c r="D122" i="36"/>
  <c r="C122" i="36"/>
  <c r="B122" i="36"/>
  <c r="S121" i="36"/>
  <c r="R121" i="36"/>
  <c r="A121" i="36" s="1"/>
  <c r="D121" i="36"/>
  <c r="C121" i="36"/>
  <c r="S120" i="36"/>
  <c r="R120" i="36"/>
  <c r="A120" i="36" s="1"/>
  <c r="D120" i="36"/>
  <c r="B120" i="36"/>
  <c r="S119" i="36"/>
  <c r="R119" i="36"/>
  <c r="A119" i="36" s="1"/>
  <c r="D119" i="36"/>
  <c r="C119" i="36"/>
  <c r="B119" i="36"/>
  <c r="S118" i="36"/>
  <c r="R118" i="36"/>
  <c r="A118" i="36" s="1"/>
  <c r="F118" i="36"/>
  <c r="D118" i="36"/>
  <c r="C118" i="36"/>
  <c r="S117" i="36"/>
  <c r="R117" i="36"/>
  <c r="A117" i="36" s="1"/>
  <c r="D117" i="36"/>
  <c r="B117" i="36"/>
  <c r="S116" i="36"/>
  <c r="R116" i="36"/>
  <c r="A116" i="36" s="1"/>
  <c r="F116" i="36"/>
  <c r="D116" i="36"/>
  <c r="C116" i="36"/>
  <c r="B116" i="36"/>
  <c r="S115" i="36"/>
  <c r="R115" i="36"/>
  <c r="A115" i="36" s="1"/>
  <c r="D115" i="36"/>
  <c r="C115" i="36"/>
  <c r="S114" i="36"/>
  <c r="R114" i="36"/>
  <c r="A114" i="36" s="1"/>
  <c r="F114" i="36"/>
  <c r="D114" i="36"/>
  <c r="C114" i="36"/>
  <c r="B114" i="36"/>
  <c r="S113" i="36"/>
  <c r="R113" i="36"/>
  <c r="A113" i="36" s="1"/>
  <c r="D113" i="36"/>
  <c r="S112" i="36"/>
  <c r="R112" i="36"/>
  <c r="A112" i="36" s="1"/>
  <c r="D112" i="36"/>
  <c r="C112" i="36"/>
  <c r="S111" i="36"/>
  <c r="R111" i="36"/>
  <c r="A111" i="36" s="1"/>
  <c r="D111" i="36"/>
  <c r="C111" i="36"/>
  <c r="B111" i="36"/>
  <c r="S110" i="36"/>
  <c r="R110" i="36"/>
  <c r="A110" i="36" s="1"/>
  <c r="D110" i="36"/>
  <c r="C110" i="36"/>
  <c r="S109" i="36"/>
  <c r="R109" i="36"/>
  <c r="A109" i="36" s="1"/>
  <c r="D109" i="36"/>
  <c r="B109" i="36"/>
  <c r="S108" i="36"/>
  <c r="R108" i="36"/>
  <c r="A108" i="36" s="1"/>
  <c r="D108" i="36"/>
  <c r="C108" i="36"/>
  <c r="S107" i="36"/>
  <c r="F107" i="36"/>
  <c r="D107" i="36"/>
  <c r="C107" i="36"/>
  <c r="S106" i="36"/>
  <c r="R106" i="36"/>
  <c r="A106" i="36" s="1"/>
  <c r="D106" i="36"/>
  <c r="C106" i="36"/>
  <c r="B106" i="36"/>
  <c r="S105" i="36"/>
  <c r="R105" i="36"/>
  <c r="A105" i="36" s="1"/>
  <c r="D105" i="36"/>
  <c r="C105" i="36"/>
  <c r="S104" i="36"/>
  <c r="D104" i="36"/>
  <c r="C104" i="36"/>
  <c r="S103" i="36"/>
  <c r="R103" i="36"/>
  <c r="A103" i="36" s="1"/>
  <c r="F103" i="36"/>
  <c r="D103" i="36"/>
  <c r="S102" i="36"/>
  <c r="R102" i="36"/>
  <c r="A102" i="36" s="1"/>
  <c r="F102" i="36"/>
  <c r="D102" i="36"/>
  <c r="C102" i="36"/>
  <c r="S101" i="36"/>
  <c r="R101" i="36"/>
  <c r="A101" i="36" s="1"/>
  <c r="F101" i="36"/>
  <c r="D101" i="36"/>
  <c r="B101" i="36"/>
  <c r="S100" i="36"/>
  <c r="R100" i="36"/>
  <c r="A100" i="36" s="1"/>
  <c r="D100" i="36"/>
  <c r="C100" i="36"/>
  <c r="B100" i="36"/>
  <c r="S99" i="36"/>
  <c r="R99" i="36"/>
  <c r="A99" i="36" s="1"/>
  <c r="F99" i="36"/>
  <c r="D99" i="36"/>
  <c r="C99" i="36"/>
  <c r="B99" i="36"/>
  <c r="S98" i="36"/>
  <c r="R98" i="36"/>
  <c r="A98" i="36" s="1"/>
  <c r="D98" i="36"/>
  <c r="C98" i="36"/>
  <c r="B98" i="36"/>
  <c r="S97" i="36"/>
  <c r="R97" i="36"/>
  <c r="A97" i="36" s="1"/>
  <c r="F97" i="36"/>
  <c r="D97" i="36"/>
  <c r="B97" i="36"/>
  <c r="S96" i="36"/>
  <c r="F96" i="36"/>
  <c r="D96" i="36"/>
  <c r="C96" i="36"/>
  <c r="B96" i="36"/>
  <c r="S95" i="36"/>
  <c r="R95" i="36"/>
  <c r="A95" i="36" s="1"/>
  <c r="D95" i="36"/>
  <c r="C95" i="36"/>
  <c r="B95" i="36"/>
  <c r="S94" i="36"/>
  <c r="R94" i="36"/>
  <c r="A94" i="36" s="1"/>
  <c r="D94" i="36"/>
  <c r="B94" i="36"/>
  <c r="S93" i="36"/>
  <c r="R93" i="36"/>
  <c r="A93" i="36" s="1"/>
  <c r="D93" i="36"/>
  <c r="B93" i="36"/>
  <c r="R92" i="36"/>
  <c r="A92" i="36" s="1"/>
  <c r="D92" i="36"/>
  <c r="C92" i="36"/>
  <c r="S87" i="36"/>
  <c r="R87" i="36"/>
  <c r="A87" i="36" s="1"/>
  <c r="D87" i="36"/>
  <c r="S86" i="36"/>
  <c r="R86" i="36"/>
  <c r="A86" i="36" s="1"/>
  <c r="D86" i="36"/>
  <c r="B86" i="36"/>
  <c r="S85" i="36"/>
  <c r="R85" i="36"/>
  <c r="A85" i="36" s="1"/>
  <c r="D85" i="36"/>
  <c r="S84" i="36"/>
  <c r="R84" i="36"/>
  <c r="A84" i="36" s="1"/>
  <c r="F84" i="36"/>
  <c r="D84" i="36"/>
  <c r="B84" i="36"/>
  <c r="S83" i="36"/>
  <c r="R83" i="36"/>
  <c r="A83" i="36" s="1"/>
  <c r="F83" i="36"/>
  <c r="D83" i="36"/>
  <c r="S82" i="36"/>
  <c r="R82" i="36"/>
  <c r="A82" i="36" s="1"/>
  <c r="D82" i="36"/>
  <c r="S81" i="36"/>
  <c r="R81" i="36"/>
  <c r="A81" i="36" s="1"/>
  <c r="F81" i="36"/>
  <c r="D81" i="36"/>
  <c r="C81" i="36"/>
  <c r="B81" i="36"/>
  <c r="S80" i="36"/>
  <c r="R80" i="36"/>
  <c r="A80" i="36" s="1"/>
  <c r="D80" i="36"/>
  <c r="B80" i="36"/>
  <c r="S79" i="36"/>
  <c r="R79" i="36"/>
  <c r="A79" i="36" s="1"/>
  <c r="D79" i="36"/>
  <c r="C79" i="36"/>
  <c r="B79" i="36"/>
  <c r="S78" i="36"/>
  <c r="R78" i="36"/>
  <c r="A78" i="36" s="1"/>
  <c r="D78" i="36"/>
  <c r="S77" i="36"/>
  <c r="R77" i="36"/>
  <c r="A77" i="36" s="1"/>
  <c r="D77" i="36"/>
  <c r="C77" i="36"/>
  <c r="S76" i="36"/>
  <c r="R76" i="36"/>
  <c r="A76" i="36" s="1"/>
  <c r="D76" i="36"/>
  <c r="S75" i="36"/>
  <c r="R75" i="36"/>
  <c r="A75" i="36" s="1"/>
  <c r="D75" i="36"/>
  <c r="S74" i="36"/>
  <c r="R74" i="36"/>
  <c r="A74" i="36" s="1"/>
  <c r="D74" i="36"/>
  <c r="C74" i="36"/>
  <c r="S73" i="36"/>
  <c r="R73" i="36"/>
  <c r="A73" i="36" s="1"/>
  <c r="D73" i="36"/>
  <c r="B73" i="36"/>
  <c r="S72" i="36"/>
  <c r="R72" i="36"/>
  <c r="A72" i="36" s="1"/>
  <c r="D72" i="36"/>
  <c r="B72" i="36"/>
  <c r="S71" i="36"/>
  <c r="R71" i="36"/>
  <c r="A71" i="36" s="1"/>
  <c r="F71" i="36"/>
  <c r="D71" i="36"/>
  <c r="S70" i="36"/>
  <c r="R70" i="36"/>
  <c r="A70" i="36" s="1"/>
  <c r="D70" i="36"/>
  <c r="C70" i="36"/>
  <c r="B70" i="36"/>
  <c r="S69" i="36"/>
  <c r="R69" i="36"/>
  <c r="A69" i="36" s="1"/>
  <c r="D69" i="36"/>
  <c r="C69" i="36"/>
  <c r="B69" i="36"/>
  <c r="S68" i="36"/>
  <c r="R68" i="36"/>
  <c r="A68" i="36" s="1"/>
  <c r="D68" i="36"/>
  <c r="S67" i="36"/>
  <c r="R67" i="36"/>
  <c r="A67" i="36" s="1"/>
  <c r="D67" i="36"/>
  <c r="S66" i="36"/>
  <c r="R66" i="36"/>
  <c r="A66" i="36" s="1"/>
  <c r="D66" i="36"/>
  <c r="B66" i="36"/>
  <c r="S65" i="36"/>
  <c r="R65" i="36"/>
  <c r="A65" i="36" s="1"/>
  <c r="D65" i="36"/>
  <c r="C65" i="36"/>
  <c r="S64" i="36"/>
  <c r="F64" i="36"/>
  <c r="D64" i="36"/>
  <c r="S63" i="36"/>
  <c r="D63" i="36"/>
  <c r="S62" i="36"/>
  <c r="R62" i="36"/>
  <c r="A62" i="36" s="1"/>
  <c r="D62" i="36"/>
  <c r="B62" i="36"/>
  <c r="S61" i="36"/>
  <c r="D61" i="36"/>
  <c r="C61" i="36"/>
  <c r="B61" i="36"/>
  <c r="S60" i="36"/>
  <c r="R60" i="36"/>
  <c r="A60" i="36" s="1"/>
  <c r="D60" i="36"/>
  <c r="S59" i="36"/>
  <c r="R59" i="36"/>
  <c r="A59" i="36" s="1"/>
  <c r="F59" i="36"/>
  <c r="D59" i="36"/>
  <c r="C59" i="36"/>
  <c r="S58" i="36"/>
  <c r="R58" i="36"/>
  <c r="A58" i="36" s="1"/>
  <c r="D58" i="36"/>
  <c r="S57" i="36"/>
  <c r="D57" i="36"/>
  <c r="S56" i="36"/>
  <c r="D56" i="36"/>
  <c r="S55" i="36"/>
  <c r="R55" i="36"/>
  <c r="A55" i="36" s="1"/>
  <c r="D55" i="36"/>
  <c r="S54" i="36"/>
  <c r="R54" i="36"/>
  <c r="A54" i="36" s="1"/>
  <c r="D54" i="36"/>
  <c r="C54" i="36"/>
  <c r="B54" i="36"/>
  <c r="S53" i="36"/>
  <c r="D53" i="36"/>
  <c r="S52" i="36"/>
  <c r="D52" i="36"/>
  <c r="C52" i="36"/>
  <c r="S51" i="36"/>
  <c r="R51" i="36"/>
  <c r="A51" i="36" s="1"/>
  <c r="D51" i="36"/>
  <c r="S50" i="36"/>
  <c r="R50" i="36"/>
  <c r="A50" i="36" s="1"/>
  <c r="D50" i="36"/>
  <c r="R49" i="36"/>
  <c r="A49" i="36" s="1"/>
  <c r="D49" i="36"/>
  <c r="C49" i="36"/>
  <c r="S44" i="36"/>
  <c r="R44" i="36"/>
  <c r="A44" i="36" s="1"/>
  <c r="D44" i="36"/>
  <c r="C44" i="36"/>
  <c r="B44" i="36"/>
  <c r="S43" i="36"/>
  <c r="R43" i="36"/>
  <c r="A43" i="36" s="1"/>
  <c r="D43" i="36"/>
  <c r="C43" i="36"/>
  <c r="B43" i="36"/>
  <c r="S42" i="36"/>
  <c r="R42" i="36"/>
  <c r="A42" i="36" s="1"/>
  <c r="F42" i="36"/>
  <c r="D42" i="36"/>
  <c r="C42" i="36"/>
  <c r="B42" i="36"/>
  <c r="S41" i="36"/>
  <c r="R41" i="36"/>
  <c r="A41" i="36" s="1"/>
  <c r="F41" i="36"/>
  <c r="D41" i="36"/>
  <c r="C41" i="36"/>
  <c r="B41" i="36"/>
  <c r="S40" i="36"/>
  <c r="R40" i="36"/>
  <c r="A40" i="36" s="1"/>
  <c r="F40" i="36"/>
  <c r="D40" i="36"/>
  <c r="C40" i="36"/>
  <c r="B40" i="36"/>
  <c r="S39" i="36"/>
  <c r="R39" i="36"/>
  <c r="A39" i="36" s="1"/>
  <c r="F39" i="36"/>
  <c r="D39" i="36"/>
  <c r="C39" i="36"/>
  <c r="B39" i="36"/>
  <c r="S38" i="36"/>
  <c r="R38" i="36"/>
  <c r="A38" i="36" s="1"/>
  <c r="F38" i="36"/>
  <c r="D38" i="36"/>
  <c r="C38" i="36"/>
  <c r="B38" i="36"/>
  <c r="S37" i="36"/>
  <c r="R37" i="36"/>
  <c r="A37" i="36" s="1"/>
  <c r="F37" i="36"/>
  <c r="D37" i="36"/>
  <c r="C37" i="36"/>
  <c r="B37" i="36"/>
  <c r="S36" i="36"/>
  <c r="R36" i="36"/>
  <c r="A36" i="36" s="1"/>
  <c r="F36" i="36"/>
  <c r="D36" i="36"/>
  <c r="C36" i="36"/>
  <c r="B36" i="36"/>
  <c r="S35" i="36"/>
  <c r="R35" i="36"/>
  <c r="A35" i="36" s="1"/>
  <c r="D35" i="36"/>
  <c r="C35" i="36"/>
  <c r="B35" i="36"/>
  <c r="S34" i="36"/>
  <c r="R34" i="36"/>
  <c r="A34" i="36" s="1"/>
  <c r="F34" i="36"/>
  <c r="D34" i="36"/>
  <c r="C34" i="36"/>
  <c r="B34" i="36"/>
  <c r="S33" i="36"/>
  <c r="R33" i="36"/>
  <c r="A33" i="36" s="1"/>
  <c r="D33" i="36"/>
  <c r="C33" i="36"/>
  <c r="B33" i="36"/>
  <c r="S32" i="36"/>
  <c r="R32" i="36"/>
  <c r="A32" i="36" s="1"/>
  <c r="F32" i="36"/>
  <c r="D32" i="36"/>
  <c r="C32" i="36"/>
  <c r="B32" i="36"/>
  <c r="S31" i="36"/>
  <c r="R31" i="36"/>
  <c r="A31" i="36" s="1"/>
  <c r="D31" i="36"/>
  <c r="C31" i="36"/>
  <c r="B31" i="36"/>
  <c r="S30" i="36"/>
  <c r="R30" i="36"/>
  <c r="A30" i="36" s="1"/>
  <c r="F30" i="36"/>
  <c r="D30" i="36"/>
  <c r="C30" i="36"/>
  <c r="B30" i="36"/>
  <c r="S29" i="36"/>
  <c r="R29" i="36"/>
  <c r="A29" i="36" s="1"/>
  <c r="D29" i="36"/>
  <c r="C29" i="36"/>
  <c r="B29" i="36"/>
  <c r="S28" i="36"/>
  <c r="R28" i="36"/>
  <c r="A28" i="36" s="1"/>
  <c r="F28" i="36"/>
  <c r="D28" i="36"/>
  <c r="C28" i="36"/>
  <c r="B28" i="36"/>
  <c r="S27" i="36"/>
  <c r="R27" i="36"/>
  <c r="A27" i="36" s="1"/>
  <c r="F27" i="36"/>
  <c r="D27" i="36"/>
  <c r="C27" i="36"/>
  <c r="B27" i="36"/>
  <c r="S26" i="36"/>
  <c r="R26" i="36"/>
  <c r="A26" i="36" s="1"/>
  <c r="F26" i="36"/>
  <c r="D26" i="36"/>
  <c r="C26" i="36"/>
  <c r="B26" i="36"/>
  <c r="S25" i="36"/>
  <c r="R25" i="36"/>
  <c r="A25" i="36" s="1"/>
  <c r="D25" i="36"/>
  <c r="C25" i="36"/>
  <c r="B25" i="36"/>
  <c r="S24" i="36"/>
  <c r="R24" i="36"/>
  <c r="A24" i="36" s="1"/>
  <c r="F24" i="36"/>
  <c r="D24" i="36"/>
  <c r="C24" i="36"/>
  <c r="B24" i="36"/>
  <c r="S23" i="36"/>
  <c r="R23" i="36"/>
  <c r="A23" i="36" s="1"/>
  <c r="D23" i="36"/>
  <c r="C23" i="36"/>
  <c r="B23" i="36"/>
  <c r="S22" i="36"/>
  <c r="R22" i="36"/>
  <c r="A22" i="36" s="1"/>
  <c r="F22" i="36"/>
  <c r="D22" i="36"/>
  <c r="C22" i="36"/>
  <c r="B22" i="36"/>
  <c r="S21" i="36"/>
  <c r="R21" i="36"/>
  <c r="A21" i="36" s="1"/>
  <c r="F21" i="36"/>
  <c r="D21" i="36"/>
  <c r="C21" i="36"/>
  <c r="B21" i="36"/>
  <c r="S20" i="36"/>
  <c r="D20" i="36"/>
  <c r="C20" i="36"/>
  <c r="B20" i="36"/>
  <c r="S19" i="36"/>
  <c r="R19" i="36"/>
  <c r="A19" i="36" s="1"/>
  <c r="D19" i="36"/>
  <c r="C19" i="36"/>
  <c r="B19" i="36"/>
  <c r="S18" i="36"/>
  <c r="R18" i="36"/>
  <c r="A18" i="36" s="1"/>
  <c r="F18" i="36"/>
  <c r="D18" i="36"/>
  <c r="C18" i="36"/>
  <c r="B18" i="36"/>
  <c r="S17" i="36"/>
  <c r="R17" i="36"/>
  <c r="A17" i="36" s="1"/>
  <c r="F17" i="36"/>
  <c r="D17" i="36"/>
  <c r="B17" i="36"/>
  <c r="S16" i="36"/>
  <c r="R16" i="36"/>
  <c r="A16" i="36" s="1"/>
  <c r="F16" i="36"/>
  <c r="D16" i="36"/>
  <c r="C16" i="36"/>
  <c r="B16" i="36"/>
  <c r="S15" i="36"/>
  <c r="R15" i="36"/>
  <c r="A15" i="36" s="1"/>
  <c r="F15" i="36"/>
  <c r="D15" i="36"/>
  <c r="C15" i="36"/>
  <c r="B15" i="36"/>
  <c r="S14" i="36"/>
  <c r="F14" i="36"/>
  <c r="D14" i="36"/>
  <c r="C14" i="36"/>
  <c r="B14" i="36"/>
  <c r="S13" i="36"/>
  <c r="R13" i="36"/>
  <c r="A13" i="36" s="1"/>
  <c r="F13" i="36"/>
  <c r="D13" i="36"/>
  <c r="C13" i="36"/>
  <c r="B13" i="36"/>
  <c r="S12" i="36"/>
  <c r="R12" i="36"/>
  <c r="A12" i="36" s="1"/>
  <c r="D12" i="36"/>
  <c r="C12" i="36"/>
  <c r="B12" i="36"/>
  <c r="S11" i="36"/>
  <c r="R11" i="36"/>
  <c r="A11" i="36" s="1"/>
  <c r="F11" i="36"/>
  <c r="D11" i="36"/>
  <c r="C11" i="36"/>
  <c r="B11" i="36"/>
  <c r="S10" i="36"/>
  <c r="F10" i="36"/>
  <c r="D10" i="36"/>
  <c r="C10" i="36"/>
  <c r="B10" i="36"/>
  <c r="S9" i="36"/>
  <c r="R9" i="36"/>
  <c r="A9" i="36" s="1"/>
  <c r="F9" i="36"/>
  <c r="D9" i="36"/>
  <c r="C9" i="36"/>
  <c r="B9" i="36"/>
  <c r="S8" i="36"/>
  <c r="R8" i="36"/>
  <c r="A8" i="36" s="1"/>
  <c r="F8" i="36"/>
  <c r="D8" i="36"/>
  <c r="C8" i="36"/>
  <c r="B8" i="36"/>
  <c r="S7" i="36"/>
  <c r="R7" i="36"/>
  <c r="A7" i="36" s="1"/>
  <c r="F7" i="36"/>
  <c r="D7" i="36"/>
  <c r="C7" i="36"/>
  <c r="B7" i="36"/>
  <c r="R6" i="36"/>
  <c r="A6" i="36" s="1"/>
  <c r="E73" i="38" l="1"/>
  <c r="AF61" i="38"/>
  <c r="N67" i="38"/>
  <c r="AJ80" i="38"/>
  <c r="U114" i="38"/>
  <c r="K35" i="36"/>
  <c r="K78" i="36" s="1"/>
  <c r="K121" i="36" s="1"/>
  <c r="K164" i="36" s="1"/>
  <c r="U112" i="38"/>
  <c r="K33" i="36"/>
  <c r="K76" i="36" s="1"/>
  <c r="K119" i="36" s="1"/>
  <c r="K162" i="36" s="1"/>
  <c r="AI76" i="38"/>
  <c r="M102" i="38"/>
  <c r="B105" i="36"/>
  <c r="AH36" i="38"/>
  <c r="AH77" i="38" s="1"/>
  <c r="P73" i="38"/>
  <c r="AJ120" i="38"/>
  <c r="AI36" i="38"/>
  <c r="AI118" i="38" s="1"/>
  <c r="P46" i="38"/>
  <c r="O50" i="38"/>
  <c r="W69" i="38"/>
  <c r="Q73" i="38"/>
  <c r="Q102" i="38"/>
  <c r="Q46" i="38"/>
  <c r="B47" i="38"/>
  <c r="R52" i="36" s="1"/>
  <c r="A52" i="36" s="1"/>
  <c r="B48" i="38"/>
  <c r="R53" i="36" s="1"/>
  <c r="A53" i="36" s="1"/>
  <c r="R50" i="38"/>
  <c r="M63" i="38"/>
  <c r="M65" i="38"/>
  <c r="O67" i="38"/>
  <c r="L73" i="38"/>
  <c r="N106" i="38"/>
  <c r="AJ115" i="38"/>
  <c r="B57" i="36"/>
  <c r="F20" i="36"/>
  <c r="B56" i="36"/>
  <c r="B107" i="36"/>
  <c r="B63" i="36"/>
  <c r="B58" i="38"/>
  <c r="R63" i="36" s="1"/>
  <c r="A63" i="36" s="1"/>
  <c r="B59" i="38"/>
  <c r="R64" i="36" s="1"/>
  <c r="A64" i="36" s="1"/>
  <c r="N63" i="38"/>
  <c r="AF65" i="38"/>
  <c r="M73" i="38"/>
  <c r="U73" i="38"/>
  <c r="AH75" i="38"/>
  <c r="AH76" i="38"/>
  <c r="AI117" i="38"/>
  <c r="S69" i="38"/>
  <c r="V104" i="38"/>
  <c r="V110" i="38"/>
  <c r="K99" i="38"/>
  <c r="F106" i="36" s="1"/>
  <c r="S67" i="38"/>
  <c r="E102" i="38"/>
  <c r="W91" i="38"/>
  <c r="W50" i="38"/>
  <c r="U108" i="38"/>
  <c r="U67" i="38"/>
  <c r="M56" i="38"/>
  <c r="M97" i="38"/>
  <c r="E92" i="38"/>
  <c r="E51" i="38"/>
  <c r="T93" i="38"/>
  <c r="T52" i="38"/>
  <c r="S54" i="38"/>
  <c r="S95" i="38"/>
  <c r="L103" i="38"/>
  <c r="L22" i="38"/>
  <c r="K104" i="38"/>
  <c r="F111" i="36" s="1"/>
  <c r="K63" i="38"/>
  <c r="F68" i="36" s="1"/>
  <c r="F25" i="36"/>
  <c r="P105" i="38"/>
  <c r="P64" i="38"/>
  <c r="P24" i="38"/>
  <c r="K106" i="38"/>
  <c r="F113" i="36" s="1"/>
  <c r="K65" i="38"/>
  <c r="F70" i="36" s="1"/>
  <c r="P107" i="38"/>
  <c r="P66" i="38"/>
  <c r="M68" i="38"/>
  <c r="M28" i="38"/>
  <c r="M109" i="38"/>
  <c r="AF71" i="38"/>
  <c r="AF112" i="38"/>
  <c r="AE112" i="38"/>
  <c r="AE71" i="38"/>
  <c r="M121" i="38"/>
  <c r="M80" i="38"/>
  <c r="P122" i="38"/>
  <c r="P81" i="38"/>
  <c r="E48" i="38"/>
  <c r="F12" i="36"/>
  <c r="E86" i="38"/>
  <c r="E5" i="38"/>
  <c r="N9" i="38"/>
  <c r="Q55" i="38"/>
  <c r="V96" i="38"/>
  <c r="V55" i="38"/>
  <c r="U99" i="38"/>
  <c r="U58" i="38"/>
  <c r="Q107" i="38"/>
  <c r="Q26" i="38"/>
  <c r="T108" i="38"/>
  <c r="T67" i="38"/>
  <c r="AE151" i="38"/>
  <c r="AE68" i="38"/>
  <c r="T110" i="38"/>
  <c r="T69" i="38"/>
  <c r="V111" i="38"/>
  <c r="V153" i="38"/>
  <c r="V30" i="38"/>
  <c r="P112" i="38"/>
  <c r="K163" i="38"/>
  <c r="F172" i="36" s="1"/>
  <c r="K86" i="38"/>
  <c r="F93" i="36" s="1"/>
  <c r="O86" i="38"/>
  <c r="O5" i="38"/>
  <c r="U50" i="38"/>
  <c r="U91" i="38"/>
  <c r="V58" i="38"/>
  <c r="V99" i="38"/>
  <c r="L100" i="38"/>
  <c r="L59" i="38"/>
  <c r="K143" i="38"/>
  <c r="F152" i="36" s="1"/>
  <c r="K101" i="38"/>
  <c r="F108" i="36" s="1"/>
  <c r="O101" i="38"/>
  <c r="O60" i="38"/>
  <c r="T143" i="38"/>
  <c r="T101" i="38"/>
  <c r="T60" i="38"/>
  <c r="O20" i="38"/>
  <c r="T63" i="38"/>
  <c r="T104" i="38"/>
  <c r="T106" i="38"/>
  <c r="T65" i="38"/>
  <c r="U110" i="38"/>
  <c r="U69" i="38"/>
  <c r="N111" i="38"/>
  <c r="N70" i="38"/>
  <c r="S153" i="38"/>
  <c r="S111" i="38"/>
  <c r="S70" i="38"/>
  <c r="W153" i="38"/>
  <c r="W70" i="38"/>
  <c r="W111" i="38"/>
  <c r="K112" i="38"/>
  <c r="F119" i="36" s="1"/>
  <c r="F33" i="36"/>
  <c r="K71" i="38"/>
  <c r="F76" i="36" s="1"/>
  <c r="T112" i="38"/>
  <c r="T71" i="38"/>
  <c r="N114" i="38"/>
  <c r="N73" i="38"/>
  <c r="S114" i="38"/>
  <c r="S73" i="38"/>
  <c r="W114" i="38"/>
  <c r="W73" i="38"/>
  <c r="AH115" i="38"/>
  <c r="AH74" i="38"/>
  <c r="P117" i="38"/>
  <c r="P76" i="38"/>
  <c r="AJ117" i="38"/>
  <c r="AJ159" i="38"/>
  <c r="AJ76" i="38"/>
  <c r="AJ36" i="38"/>
  <c r="AH118" i="38"/>
  <c r="M119" i="38"/>
  <c r="M78" i="38"/>
  <c r="Q119" i="38"/>
  <c r="Q78" i="38"/>
  <c r="E120" i="38"/>
  <c r="E79" i="38"/>
  <c r="AE45" i="38"/>
  <c r="L46" i="38"/>
  <c r="T46" i="38"/>
  <c r="K50" i="38"/>
  <c r="F55" i="36" s="1"/>
  <c r="N55" i="38"/>
  <c r="T61" i="38"/>
  <c r="S63" i="38"/>
  <c r="W65" i="38"/>
  <c r="AE65" i="38"/>
  <c r="O69" i="38"/>
  <c r="AF69" i="38"/>
  <c r="Q96" i="38"/>
  <c r="U122" i="38"/>
  <c r="O47" i="38"/>
  <c r="O88" i="38"/>
  <c r="O48" i="38"/>
  <c r="O89" i="38"/>
  <c r="E90" i="38"/>
  <c r="E49" i="38"/>
  <c r="S90" i="38"/>
  <c r="S49" i="38"/>
  <c r="W90" i="38"/>
  <c r="W49" i="38"/>
  <c r="S9" i="38"/>
  <c r="E93" i="38"/>
  <c r="E52" i="38"/>
  <c r="N53" i="38"/>
  <c r="N94" i="38"/>
  <c r="W94" i="38"/>
  <c r="W53" i="38"/>
  <c r="Q56" i="38"/>
  <c r="Q97" i="38"/>
  <c r="V97" i="38"/>
  <c r="V56" i="38"/>
  <c r="K98" i="38"/>
  <c r="F105" i="36" s="1"/>
  <c r="K57" i="38"/>
  <c r="F62" i="36" s="1"/>
  <c r="T98" i="38"/>
  <c r="T57" i="38"/>
  <c r="S102" i="38"/>
  <c r="S61" i="38"/>
  <c r="AE102" i="38"/>
  <c r="AE61" i="38"/>
  <c r="P103" i="38"/>
  <c r="P22" i="38"/>
  <c r="U145" i="38"/>
  <c r="U22" i="38"/>
  <c r="K25" i="36" s="1"/>
  <c r="K68" i="36" s="1"/>
  <c r="K111" i="36" s="1"/>
  <c r="K154" i="36" s="1"/>
  <c r="L105" i="38"/>
  <c r="L64" i="38"/>
  <c r="L24" i="38"/>
  <c r="U147" i="38"/>
  <c r="U64" i="38"/>
  <c r="U24" i="38"/>
  <c r="K27" i="36" s="1"/>
  <c r="K70" i="36" s="1"/>
  <c r="K113" i="36" s="1"/>
  <c r="K156" i="36" s="1"/>
  <c r="U105" i="38"/>
  <c r="L107" i="38"/>
  <c r="U149" i="38"/>
  <c r="U107" i="38"/>
  <c r="U66" i="38"/>
  <c r="L26" i="38"/>
  <c r="AE108" i="38"/>
  <c r="AE67" i="38"/>
  <c r="Q109" i="38"/>
  <c r="Q68" i="38"/>
  <c r="Q28" i="38"/>
  <c r="K110" i="38"/>
  <c r="F117" i="36" s="1"/>
  <c r="K69" i="38"/>
  <c r="F74" i="36" s="1"/>
  <c r="N120" i="38"/>
  <c r="N79" i="38"/>
  <c r="AI120" i="38"/>
  <c r="AI79" i="38"/>
  <c r="L122" i="38"/>
  <c r="L81" i="38"/>
  <c r="K123" i="38"/>
  <c r="F130" i="36" s="1"/>
  <c r="K82" i="38"/>
  <c r="F87" i="36" s="1"/>
  <c r="O82" i="38"/>
  <c r="O123" i="38"/>
  <c r="T123" i="38"/>
  <c r="T82" i="38"/>
  <c r="O51" i="38"/>
  <c r="E53" i="38"/>
  <c r="S53" i="38"/>
  <c r="L62" i="38"/>
  <c r="U62" i="38"/>
  <c r="B64" i="36"/>
  <c r="N45" i="38"/>
  <c r="N86" i="38"/>
  <c r="N5" i="38"/>
  <c r="S5" i="38"/>
  <c r="S86" i="38"/>
  <c r="W86" i="38"/>
  <c r="W5" i="38"/>
  <c r="L56" i="38"/>
  <c r="L97" i="38"/>
  <c r="P58" i="38"/>
  <c r="P99" i="38"/>
  <c r="E100" i="38"/>
  <c r="E59" i="38"/>
  <c r="N102" i="38"/>
  <c r="N61" i="38"/>
  <c r="M107" i="38"/>
  <c r="M26" i="38"/>
  <c r="V107" i="38"/>
  <c r="V149" i="38"/>
  <c r="V26" i="38"/>
  <c r="AF108" i="38"/>
  <c r="AF67" i="38"/>
  <c r="N68" i="38"/>
  <c r="N28" i="38"/>
  <c r="N109" i="38"/>
  <c r="L110" i="38"/>
  <c r="L69" i="38"/>
  <c r="AE28" i="38"/>
  <c r="M111" i="38"/>
  <c r="M30" i="38"/>
  <c r="M70" i="38"/>
  <c r="Q30" i="38"/>
  <c r="Q111" i="38"/>
  <c r="E112" i="38"/>
  <c r="E71" i="38"/>
  <c r="S112" i="38"/>
  <c r="S71" i="38"/>
  <c r="L119" i="38"/>
  <c r="L78" i="38"/>
  <c r="P119" i="38"/>
  <c r="P78" i="38"/>
  <c r="T48" i="38"/>
  <c r="N49" i="38"/>
  <c r="P62" i="38"/>
  <c r="S65" i="38"/>
  <c r="O71" i="38"/>
  <c r="AJ78" i="38"/>
  <c r="B53" i="36"/>
  <c r="F19" i="36"/>
  <c r="B52" i="36"/>
  <c r="N88" i="38"/>
  <c r="N47" i="38"/>
  <c r="N89" i="38"/>
  <c r="N48" i="38"/>
  <c r="S48" i="38"/>
  <c r="S89" i="38"/>
  <c r="W89" i="38"/>
  <c r="W48" i="38"/>
  <c r="M90" i="38"/>
  <c r="M9" i="38"/>
  <c r="Q9" i="38"/>
  <c r="Q90" i="38"/>
  <c r="E91" i="38"/>
  <c r="E50" i="38"/>
  <c r="M94" i="38"/>
  <c r="M53" i="38"/>
  <c r="Q94" i="38"/>
  <c r="Q53" i="38"/>
  <c r="V53" i="38"/>
  <c r="V94" i="38"/>
  <c r="E54" i="38"/>
  <c r="E95" i="38"/>
  <c r="U56" i="38"/>
  <c r="U97" i="38"/>
  <c r="E57" i="38"/>
  <c r="E98" i="38"/>
  <c r="L99" i="38"/>
  <c r="L58" i="38"/>
  <c r="L101" i="38"/>
  <c r="L20" i="38"/>
  <c r="P101" i="38"/>
  <c r="P20" i="38"/>
  <c r="U143" i="38"/>
  <c r="U60" i="38"/>
  <c r="U101" i="38"/>
  <c r="U20" i="38"/>
  <c r="K23" i="36" s="1"/>
  <c r="K66" i="36" s="1"/>
  <c r="K109" i="36" s="1"/>
  <c r="K152" i="36" s="1"/>
  <c r="K20" i="38"/>
  <c r="W102" i="38"/>
  <c r="W61" i="38"/>
  <c r="K145" i="38"/>
  <c r="F154" i="36" s="1"/>
  <c r="K62" i="38"/>
  <c r="F67" i="36" s="1"/>
  <c r="O62" i="38"/>
  <c r="O103" i="38"/>
  <c r="T103" i="38"/>
  <c r="T145" i="38"/>
  <c r="T62" i="38"/>
  <c r="E104" i="38"/>
  <c r="E63" i="38"/>
  <c r="O22" i="38"/>
  <c r="K147" i="38"/>
  <c r="F156" i="36" s="1"/>
  <c r="K64" i="38"/>
  <c r="F69" i="36" s="1"/>
  <c r="O105" i="38"/>
  <c r="T105" i="38"/>
  <c r="T147" i="38"/>
  <c r="O24" i="38"/>
  <c r="K108" i="38"/>
  <c r="F115" i="36" s="1"/>
  <c r="K67" i="38"/>
  <c r="F72" i="36" s="1"/>
  <c r="F29" i="36"/>
  <c r="P26" i="38"/>
  <c r="P110" i="38"/>
  <c r="P69" i="38"/>
  <c r="N30" i="38"/>
  <c r="W30" i="38"/>
  <c r="K114" i="38"/>
  <c r="F121" i="36" s="1"/>
  <c r="K73" i="38"/>
  <c r="F78" i="36" s="1"/>
  <c r="O114" i="38"/>
  <c r="O73" i="38"/>
  <c r="T73" i="38"/>
  <c r="T114" i="38"/>
  <c r="AE114" i="38"/>
  <c r="AE73" i="38"/>
  <c r="AI115" i="38"/>
  <c r="AI74" i="38"/>
  <c r="AI116" i="38"/>
  <c r="AI75" i="38"/>
  <c r="M117" i="38"/>
  <c r="M76" i="38"/>
  <c r="Q117" i="38"/>
  <c r="Q76" i="38"/>
  <c r="E118" i="38"/>
  <c r="E77" i="38"/>
  <c r="O118" i="38"/>
  <c r="O77" i="38"/>
  <c r="AI77" i="38"/>
  <c r="AH120" i="38"/>
  <c r="AH79" i="38"/>
  <c r="L121" i="38"/>
  <c r="L80" i="38"/>
  <c r="AH121" i="38"/>
  <c r="AH80" i="38"/>
  <c r="K40" i="38"/>
  <c r="O122" i="38"/>
  <c r="O81" i="38"/>
  <c r="T122" i="38"/>
  <c r="T81" i="38"/>
  <c r="E123" i="38"/>
  <c r="E82" i="38"/>
  <c r="N123" i="38"/>
  <c r="N82" i="38"/>
  <c r="S123" i="38"/>
  <c r="S82" i="38"/>
  <c r="W123" i="38"/>
  <c r="W82" i="38"/>
  <c r="K45" i="38"/>
  <c r="F50" i="36" s="1"/>
  <c r="M46" i="38"/>
  <c r="U46" i="38"/>
  <c r="E47" i="38"/>
  <c r="V50" i="38"/>
  <c r="O52" i="38"/>
  <c r="S57" i="38"/>
  <c r="M58" i="38"/>
  <c r="P60" i="38"/>
  <c r="W63" i="38"/>
  <c r="AE63" i="38"/>
  <c r="M66" i="38"/>
  <c r="U71" i="38"/>
  <c r="L76" i="38"/>
  <c r="O79" i="38"/>
  <c r="R104" i="36"/>
  <c r="A104" i="36" s="1"/>
  <c r="B104" i="36"/>
  <c r="U103" i="38"/>
  <c r="AE109" i="38"/>
  <c r="AI121" i="38"/>
  <c r="V5" i="38"/>
  <c r="L9" i="38"/>
  <c r="P9" i="38"/>
  <c r="T9" i="38"/>
  <c r="AE9" i="38"/>
  <c r="E99" i="38"/>
  <c r="E58" i="38"/>
  <c r="Q60" i="38"/>
  <c r="V143" i="38"/>
  <c r="V101" i="38"/>
  <c r="AF104" i="38"/>
  <c r="AF63" i="38"/>
  <c r="M105" i="38"/>
  <c r="M64" i="38"/>
  <c r="Q105" i="38"/>
  <c r="Q64" i="38"/>
  <c r="V147" i="38"/>
  <c r="V105" i="38"/>
  <c r="N107" i="38"/>
  <c r="S149" i="38"/>
  <c r="S66" i="38"/>
  <c r="W107" i="38"/>
  <c r="W66" i="38"/>
  <c r="O109" i="38"/>
  <c r="O111" i="38"/>
  <c r="O70" i="38"/>
  <c r="L30" i="38"/>
  <c r="AJ116" i="38"/>
  <c r="AJ75" i="38"/>
  <c r="M122" i="38"/>
  <c r="Q122" i="38"/>
  <c r="V122" i="38"/>
  <c r="V81" i="38"/>
  <c r="L123" i="38"/>
  <c r="L82" i="38"/>
  <c r="P123" i="38"/>
  <c r="P82" i="38"/>
  <c r="M45" i="38"/>
  <c r="Q45" i="38"/>
  <c r="U45" i="38"/>
  <c r="R46" i="38"/>
  <c r="V48" i="38"/>
  <c r="K49" i="38"/>
  <c r="F54" i="36" s="1"/>
  <c r="O49" i="38"/>
  <c r="AE49" i="38"/>
  <c r="L51" i="38"/>
  <c r="P51" i="38"/>
  <c r="L52" i="38"/>
  <c r="P52" i="38"/>
  <c r="U53" i="38"/>
  <c r="U55" i="38"/>
  <c r="U57" i="38"/>
  <c r="E62" i="38"/>
  <c r="M62" i="38"/>
  <c r="V64" i="38"/>
  <c r="N66" i="38"/>
  <c r="E68" i="38"/>
  <c r="T70" i="38"/>
  <c r="AF73" i="38"/>
  <c r="O76" i="38"/>
  <c r="M77" i="38"/>
  <c r="E78" i="38"/>
  <c r="M79" i="38"/>
  <c r="E80" i="38"/>
  <c r="M82" i="38"/>
  <c r="U82" i="38"/>
  <c r="V86" i="38"/>
  <c r="L90" i="38"/>
  <c r="M93" i="38"/>
  <c r="T96" i="38"/>
  <c r="AF151" i="38"/>
  <c r="AF9" i="38"/>
  <c r="N101" i="38"/>
  <c r="S143" i="38"/>
  <c r="S101" i="38"/>
  <c r="N103" i="38"/>
  <c r="S145" i="38"/>
  <c r="S103" i="38"/>
  <c r="S62" i="38"/>
  <c r="W145" i="38"/>
  <c r="W103" i="38"/>
  <c r="W62" i="38"/>
  <c r="E23" i="38"/>
  <c r="N105" i="38"/>
  <c r="W147" i="38"/>
  <c r="W105" i="38"/>
  <c r="V106" i="38"/>
  <c r="V65" i="38"/>
  <c r="O107" i="38"/>
  <c r="O66" i="38"/>
  <c r="T149" i="38"/>
  <c r="T107" i="38"/>
  <c r="E26" i="38"/>
  <c r="L109" i="38"/>
  <c r="P109" i="38"/>
  <c r="P111" i="38"/>
  <c r="U153" i="38"/>
  <c r="U111" i="38"/>
  <c r="AF111" i="38"/>
  <c r="AF153" i="38"/>
  <c r="V114" i="38"/>
  <c r="V73" i="38"/>
  <c r="E116" i="38"/>
  <c r="E75" i="38"/>
  <c r="O119" i="38"/>
  <c r="O78" i="38"/>
  <c r="AI119" i="38"/>
  <c r="AI78" i="38"/>
  <c r="Q121" i="38"/>
  <c r="Q80" i="38"/>
  <c r="N81" i="38"/>
  <c r="M51" i="38"/>
  <c r="N62" i="38"/>
  <c r="Q63" i="38"/>
  <c r="W64" i="38"/>
  <c r="Q65" i="38"/>
  <c r="W67" i="38"/>
  <c r="E69" i="38"/>
  <c r="P70" i="38"/>
  <c r="U70" i="38"/>
  <c r="AH78" i="38"/>
  <c r="N80" i="38"/>
  <c r="E81" i="38"/>
  <c r="Q81" i="38"/>
  <c r="V82" i="38"/>
  <c r="E97" i="38"/>
  <c r="V102" i="38"/>
  <c r="AE111" i="38"/>
  <c r="AH117" i="38"/>
  <c r="W149" i="38"/>
  <c r="T153" i="38"/>
  <c r="E146" i="38"/>
  <c r="E147" i="38" s="1"/>
  <c r="P55" i="38" l="1"/>
  <c r="P96" i="38"/>
  <c r="Q91" i="38"/>
  <c r="Q50" i="38"/>
  <c r="M112" i="38"/>
  <c r="M71" i="38"/>
  <c r="V108" i="38"/>
  <c r="V67" i="38"/>
  <c r="U106" i="38"/>
  <c r="U65" i="38"/>
  <c r="P63" i="38"/>
  <c r="P104" i="38"/>
  <c r="Q99" i="38"/>
  <c r="Q58" i="38"/>
  <c r="V112" i="38"/>
  <c r="V71" i="38"/>
  <c r="Q100" i="38"/>
  <c r="Q59" i="38"/>
  <c r="L104" i="38"/>
  <c r="L63" i="38"/>
  <c r="AF91" i="38"/>
  <c r="AF50" i="38"/>
  <c r="O96" i="38"/>
  <c r="O55" i="38"/>
  <c r="K122" i="38"/>
  <c r="F129" i="36" s="1"/>
  <c r="K81" i="38"/>
  <c r="F86" i="36" s="1"/>
  <c r="F43" i="36"/>
  <c r="O63" i="38"/>
  <c r="O104" i="38"/>
  <c r="N99" i="38"/>
  <c r="N58" i="38"/>
  <c r="M50" i="38"/>
  <c r="M91" i="38"/>
  <c r="Q112" i="38"/>
  <c r="Q71" i="38"/>
  <c r="S46" i="38"/>
  <c r="S87" i="38"/>
  <c r="L120" i="38"/>
  <c r="L79" i="38"/>
  <c r="L108" i="38"/>
  <c r="L67" i="38"/>
  <c r="S91" i="38"/>
  <c r="S50" i="38"/>
  <c r="AJ118" i="38"/>
  <c r="AJ77" i="38"/>
  <c r="Q108" i="38"/>
  <c r="Q67" i="38"/>
  <c r="Q98" i="38"/>
  <c r="Q57" i="38"/>
  <c r="N91" i="38"/>
  <c r="N50" i="38"/>
  <c r="M110" i="38"/>
  <c r="M69" i="38"/>
  <c r="P106" i="38"/>
  <c r="P65" i="38"/>
  <c r="AE91" i="38"/>
  <c r="AE50" i="38"/>
  <c r="V87" i="38"/>
  <c r="V46" i="38"/>
  <c r="W112" i="38"/>
  <c r="W71" i="38"/>
  <c r="P67" i="38"/>
  <c r="P108" i="38"/>
  <c r="O106" i="38"/>
  <c r="O65" i="38"/>
  <c r="K102" i="38"/>
  <c r="F109" i="36" s="1"/>
  <c r="F23" i="36"/>
  <c r="K61" i="38"/>
  <c r="F66" i="36" s="1"/>
  <c r="L102" i="38"/>
  <c r="L61" i="38"/>
  <c r="O58" i="38"/>
  <c r="O99" i="38"/>
  <c r="W87" i="38"/>
  <c r="W46" i="38"/>
  <c r="N87" i="38"/>
  <c r="N46" i="38"/>
  <c r="U104" i="38"/>
  <c r="U63" i="38"/>
  <c r="E87" i="38"/>
  <c r="E46" i="38"/>
  <c r="P120" i="38"/>
  <c r="P79" i="38"/>
  <c r="L112" i="38"/>
  <c r="L71" i="38"/>
  <c r="L57" i="38"/>
  <c r="M16" i="38"/>
  <c r="P16" i="38"/>
  <c r="L98" i="38"/>
  <c r="O16" i="38"/>
  <c r="N16" i="38"/>
  <c r="P91" i="38"/>
  <c r="P50" i="38"/>
  <c r="L91" i="38"/>
  <c r="L50" i="38"/>
  <c r="E108" i="38"/>
  <c r="E67" i="38"/>
  <c r="E105" i="38"/>
  <c r="E64" i="38"/>
  <c r="E24" i="38"/>
  <c r="T91" i="38"/>
  <c r="T50" i="38"/>
  <c r="N112" i="38"/>
  <c r="N71" i="38"/>
  <c r="U102" i="38"/>
  <c r="U61" i="38"/>
  <c r="P102" i="38"/>
  <c r="P61" i="38"/>
  <c r="AE110" i="38"/>
  <c r="AE69" i="38"/>
  <c r="N69" i="38"/>
  <c r="N110" i="38"/>
  <c r="M108" i="38"/>
  <c r="M67" i="38"/>
  <c r="Q110" i="38"/>
  <c r="Q69" i="38"/>
  <c r="L106" i="38"/>
  <c r="L65" i="38"/>
  <c r="O102" i="38"/>
  <c r="O61" i="38"/>
  <c r="O87" i="38"/>
  <c r="O46" i="38"/>
  <c r="N97" i="38"/>
  <c r="N56" i="38"/>
  <c r="M100" i="38" l="1"/>
  <c r="M59" i="38"/>
  <c r="O97" i="38"/>
  <c r="O56" i="38"/>
  <c r="E106" i="38"/>
  <c r="E65" i="38"/>
  <c r="M98" i="38"/>
  <c r="M57" i="38"/>
  <c r="N98" i="38"/>
  <c r="N57" i="38"/>
  <c r="O100" i="38"/>
  <c r="O59" i="38"/>
  <c r="N100" i="38"/>
  <c r="N59" i="38"/>
  <c r="P100" i="38"/>
  <c r="P59" i="38"/>
  <c r="O98" i="38"/>
  <c r="O57" i="38"/>
  <c r="P57" i="38"/>
  <c r="P98" i="38"/>
  <c r="P56" i="38" l="1"/>
  <c r="P97" i="38"/>
  <c r="S160" i="7" l="1"/>
  <c r="G163" i="7" s="1"/>
  <c r="J124" i="19" s="1"/>
  <c r="E101" i="7"/>
  <c r="E100" i="7"/>
  <c r="AH124" i="19"/>
  <c r="AH123" i="19"/>
  <c r="AH122" i="19"/>
  <c r="AH121" i="19"/>
  <c r="AI121" i="19"/>
  <c r="AF124" i="19"/>
  <c r="AF123" i="19"/>
  <c r="AF122" i="19"/>
  <c r="AF121" i="19"/>
  <c r="AK121" i="19" s="1"/>
  <c r="I121" i="19" s="1"/>
  <c r="Q124" i="19"/>
  <c r="Q123" i="19"/>
  <c r="Q122" i="19"/>
  <c r="Q121" i="19"/>
  <c r="S126" i="19"/>
  <c r="H131" i="19"/>
  <c r="J131" i="19"/>
  <c r="I131" i="19"/>
  <c r="S131" i="19"/>
  <c r="K126" i="19"/>
  <c r="H126" i="19"/>
  <c r="I126" i="19"/>
  <c r="J126" i="19"/>
  <c r="S130" i="19"/>
  <c r="S129" i="19"/>
  <c r="S128" i="19"/>
  <c r="S127" i="19"/>
  <c r="B302" i="35"/>
  <c r="B271" i="35"/>
  <c r="B227" i="35"/>
  <c r="B182" i="35"/>
  <c r="B138" i="35"/>
  <c r="B94" i="35"/>
  <c r="B49" i="35"/>
  <c r="B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299" i="35"/>
  <c r="D298" i="35"/>
  <c r="D297" i="35"/>
  <c r="D296" i="35"/>
  <c r="D294" i="35"/>
  <c r="D293" i="35"/>
  <c r="D292" i="35"/>
  <c r="D291" i="35"/>
  <c r="D290" i="35"/>
  <c r="D289" i="35"/>
  <c r="D288" i="35"/>
  <c r="D287" i="35"/>
  <c r="D286" i="35"/>
  <c r="D284" i="35"/>
  <c r="D285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6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K59" i="8"/>
  <c r="L59" i="8"/>
  <c r="B60" i="8"/>
  <c r="D60" i="8"/>
  <c r="E60" i="8"/>
  <c r="G60" i="8"/>
  <c r="H60" i="8"/>
  <c r="I60" i="8"/>
  <c r="J60" i="8"/>
  <c r="P60" i="8"/>
  <c r="B61" i="8"/>
  <c r="C33" i="35" s="1"/>
  <c r="D61" i="8"/>
  <c r="E61" i="8"/>
  <c r="G61" i="8"/>
  <c r="H61" i="8"/>
  <c r="I61" i="8"/>
  <c r="J61" i="8"/>
  <c r="P61" i="8"/>
  <c r="B62" i="8"/>
  <c r="D62" i="8"/>
  <c r="E62" i="8"/>
  <c r="G62" i="8"/>
  <c r="H62" i="8"/>
  <c r="I62" i="8"/>
  <c r="J62" i="8"/>
  <c r="N62" i="8"/>
  <c r="P62" i="8"/>
  <c r="B64" i="8"/>
  <c r="D64" i="8"/>
  <c r="E64" i="8"/>
  <c r="G64" i="8"/>
  <c r="H64" i="8"/>
  <c r="I64" i="8"/>
  <c r="J64" i="8"/>
  <c r="P64" i="8"/>
  <c r="B65" i="8"/>
  <c r="D65" i="8"/>
  <c r="E65" i="8"/>
  <c r="G65" i="8"/>
  <c r="H65" i="8"/>
  <c r="I65" i="8"/>
  <c r="J65" i="8"/>
  <c r="P65" i="8"/>
  <c r="B66" i="8"/>
  <c r="D66" i="8"/>
  <c r="E66" i="8"/>
  <c r="G66" i="8"/>
  <c r="H66" i="8"/>
  <c r="I66" i="8"/>
  <c r="J66" i="8"/>
  <c r="P66" i="8"/>
  <c r="B67" i="8"/>
  <c r="D67" i="8"/>
  <c r="E67" i="8"/>
  <c r="G67" i="8"/>
  <c r="H67" i="8"/>
  <c r="I67" i="8"/>
  <c r="J67" i="8"/>
  <c r="P67" i="8"/>
  <c r="B68" i="8"/>
  <c r="D68" i="8"/>
  <c r="E68" i="8"/>
  <c r="G68" i="8"/>
  <c r="H68" i="8"/>
  <c r="I68" i="8"/>
  <c r="J68" i="8"/>
  <c r="M68" i="8"/>
  <c r="P68" i="8"/>
  <c r="B70" i="8"/>
  <c r="D70" i="8"/>
  <c r="E70" i="8"/>
  <c r="G70" i="8"/>
  <c r="H70" i="8"/>
  <c r="I70" i="8"/>
  <c r="J70" i="8"/>
  <c r="M70" i="8"/>
  <c r="P70" i="8"/>
  <c r="B72" i="8"/>
  <c r="D72" i="8"/>
  <c r="E72" i="8"/>
  <c r="G72" i="8"/>
  <c r="H72" i="8"/>
  <c r="I72" i="8"/>
  <c r="J72" i="8"/>
  <c r="M72" i="8"/>
  <c r="P72" i="8"/>
  <c r="R5" i="30"/>
  <c r="S5" i="30"/>
  <c r="T5" i="30"/>
  <c r="U5" i="30"/>
  <c r="V5" i="30"/>
  <c r="W5" i="30"/>
  <c r="X5" i="30"/>
  <c r="Y5" i="30"/>
  <c r="Z5" i="30"/>
  <c r="AA9" i="30"/>
  <c r="AB9" i="30"/>
  <c r="AA11" i="30"/>
  <c r="AB11" i="30"/>
  <c r="AA12" i="30"/>
  <c r="AB12" i="30"/>
  <c r="AA14" i="30"/>
  <c r="AB14" i="30"/>
  <c r="AA15" i="30"/>
  <c r="AB15" i="30"/>
  <c r="AA17" i="30"/>
  <c r="AB17" i="30"/>
  <c r="AA18" i="30"/>
  <c r="AB18" i="30"/>
  <c r="AA20" i="30"/>
  <c r="AB20" i="30"/>
  <c r="AA21" i="30"/>
  <c r="AB21" i="30"/>
  <c r="AA23" i="30"/>
  <c r="AB23" i="30"/>
  <c r="AA24" i="30"/>
  <c r="AB24" i="30"/>
  <c r="AA31" i="30"/>
  <c r="AB31" i="30"/>
  <c r="AA33" i="30"/>
  <c r="AB33" i="30"/>
  <c r="AA35" i="30"/>
  <c r="AB35" i="30"/>
  <c r="AA38" i="30"/>
  <c r="AB38" i="30"/>
  <c r="R39" i="30"/>
  <c r="D163" i="2"/>
  <c r="D162" i="2"/>
  <c r="D161" i="2"/>
  <c r="D166" i="2"/>
  <c r="D165" i="2"/>
  <c r="D164" i="2"/>
  <c r="D169" i="2"/>
  <c r="D168" i="2"/>
  <c r="D167" i="2"/>
  <c r="D150" i="2"/>
  <c r="D157" i="2"/>
  <c r="D156" i="2"/>
  <c r="D155" i="2"/>
  <c r="D154" i="2"/>
  <c r="D153" i="2"/>
  <c r="D152" i="2"/>
  <c r="D151" i="2"/>
  <c r="D149" i="2"/>
  <c r="D148" i="2"/>
  <c r="D147" i="2"/>
  <c r="D146" i="2"/>
  <c r="D145" i="2"/>
  <c r="D144" i="2"/>
  <c r="D143" i="2"/>
  <c r="D142" i="2"/>
  <c r="D141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40" i="2"/>
  <c r="D108" i="2"/>
  <c r="D99" i="2"/>
  <c r="D89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100" i="2"/>
  <c r="D101" i="2"/>
  <c r="D102" i="2"/>
  <c r="D103" i="2"/>
  <c r="D104" i="2"/>
  <c r="D105" i="2"/>
  <c r="D106" i="2"/>
  <c r="D90" i="2"/>
  <c r="D91" i="2"/>
  <c r="D92" i="2"/>
  <c r="D93" i="2"/>
  <c r="D94" i="2"/>
  <c r="D95" i="2"/>
  <c r="D96" i="2"/>
  <c r="D97" i="2"/>
  <c r="D98" i="2"/>
  <c r="D48" i="2"/>
  <c r="D38" i="2"/>
  <c r="D6" i="2"/>
  <c r="D49" i="2"/>
  <c r="D50" i="2"/>
  <c r="D51" i="2"/>
  <c r="D52" i="2"/>
  <c r="D53" i="2"/>
  <c r="D54" i="2"/>
  <c r="D55" i="2"/>
  <c r="D39" i="2"/>
  <c r="D40" i="2"/>
  <c r="D41" i="2"/>
  <c r="D42" i="2"/>
  <c r="D43" i="2"/>
  <c r="D44" i="2"/>
  <c r="D45" i="2"/>
  <c r="D46" i="2"/>
  <c r="D47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B158" i="2"/>
  <c r="B107" i="2"/>
  <c r="B56" i="2"/>
  <c r="B5" i="2"/>
  <c r="C187" i="2"/>
  <c r="D187" i="2" s="1"/>
  <c r="B126" i="19"/>
  <c r="C295" i="35"/>
  <c r="B125" i="19"/>
  <c r="C294" i="35" s="1"/>
  <c r="G132" i="19"/>
  <c r="E132" i="19"/>
  <c r="G131" i="19"/>
  <c r="E131" i="19"/>
  <c r="D132" i="19"/>
  <c r="D131" i="19"/>
  <c r="B132" i="19"/>
  <c r="C301" i="35" s="1"/>
  <c r="B131" i="19"/>
  <c r="C300" i="35" s="1"/>
  <c r="D126" i="19"/>
  <c r="D125" i="19"/>
  <c r="D130" i="19"/>
  <c r="D129" i="19"/>
  <c r="D128" i="19"/>
  <c r="D127" i="19"/>
  <c r="B130" i="19"/>
  <c r="C299" i="35" s="1"/>
  <c r="B129" i="19"/>
  <c r="C298" i="35" s="1"/>
  <c r="B128" i="19"/>
  <c r="C297" i="35" s="1"/>
  <c r="B127" i="19"/>
  <c r="C296" i="35" s="1"/>
  <c r="D124" i="19"/>
  <c r="D123" i="19"/>
  <c r="D122" i="19"/>
  <c r="D121" i="19"/>
  <c r="B124" i="19"/>
  <c r="C293" i="35"/>
  <c r="B123" i="19"/>
  <c r="C292" i="35" s="1"/>
  <c r="B122" i="19"/>
  <c r="C291" i="35"/>
  <c r="B121" i="19"/>
  <c r="C290" i="35" s="1"/>
  <c r="B89" i="19"/>
  <c r="C314" i="35"/>
  <c r="B84" i="19"/>
  <c r="C313" i="35" s="1"/>
  <c r="B79" i="19"/>
  <c r="C312" i="35"/>
  <c r="B74" i="19"/>
  <c r="C311" i="35" s="1"/>
  <c r="B69" i="19"/>
  <c r="C310" i="35"/>
  <c r="B64" i="19"/>
  <c r="C309" i="35" s="1"/>
  <c r="B59" i="19"/>
  <c r="C308" i="35"/>
  <c r="B54" i="19"/>
  <c r="C307" i="35" s="1"/>
  <c r="B49" i="19"/>
  <c r="C306" i="35"/>
  <c r="B44" i="19"/>
  <c r="C305" i="35" s="1"/>
  <c r="B39" i="19"/>
  <c r="C304" i="35"/>
  <c r="B34" i="19"/>
  <c r="C303" i="35" s="1"/>
  <c r="B120" i="19"/>
  <c r="C289" i="35"/>
  <c r="B119" i="19"/>
  <c r="C288" i="35" s="1"/>
  <c r="B118" i="19"/>
  <c r="C287" i="35"/>
  <c r="B117" i="19"/>
  <c r="C286" i="35" s="1"/>
  <c r="B116" i="19"/>
  <c r="C285" i="35" s="1"/>
  <c r="B115" i="19"/>
  <c r="C284" i="35" s="1"/>
  <c r="B114" i="19"/>
  <c r="C283" i="35" s="1"/>
  <c r="B113" i="19"/>
  <c r="C282" i="35" s="1"/>
  <c r="B112" i="19"/>
  <c r="C281" i="35"/>
  <c r="B111" i="19"/>
  <c r="C280" i="35" s="1"/>
  <c r="B110" i="19"/>
  <c r="C279" i="35" s="1"/>
  <c r="B109" i="19"/>
  <c r="C278" i="35" s="1"/>
  <c r="B108" i="19"/>
  <c r="C277" i="35" s="1"/>
  <c r="B107" i="19"/>
  <c r="C276" i="35" s="1"/>
  <c r="B106" i="19"/>
  <c r="C275" i="35" s="1"/>
  <c r="B105" i="19"/>
  <c r="C274" i="35" s="1"/>
  <c r="B104" i="19"/>
  <c r="C273" i="35" s="1"/>
  <c r="B103" i="19"/>
  <c r="C272" i="35" s="1"/>
  <c r="W5" i="24"/>
  <c r="V5" i="24"/>
  <c r="U5" i="24"/>
  <c r="T5" i="24"/>
  <c r="W5" i="16"/>
  <c r="V5" i="16"/>
  <c r="U5" i="16"/>
  <c r="T5" i="16"/>
  <c r="B84" i="34"/>
  <c r="C270" i="35" s="1"/>
  <c r="B83" i="34"/>
  <c r="C269" i="35" s="1"/>
  <c r="B82" i="34"/>
  <c r="C268" i="35" s="1"/>
  <c r="B81" i="34"/>
  <c r="C267" i="35" s="1"/>
  <c r="B80" i="34"/>
  <c r="C266" i="35" s="1"/>
  <c r="B79" i="34"/>
  <c r="C265" i="35" s="1"/>
  <c r="B78" i="34"/>
  <c r="C264" i="35" s="1"/>
  <c r="B72" i="34"/>
  <c r="C263" i="35" s="1"/>
  <c r="B70" i="34"/>
  <c r="C262" i="35" s="1"/>
  <c r="B68" i="34"/>
  <c r="C261" i="35" s="1"/>
  <c r="B67" i="34"/>
  <c r="C260" i="35"/>
  <c r="B66" i="34"/>
  <c r="C259" i="35" s="1"/>
  <c r="B65" i="34"/>
  <c r="C258" i="35"/>
  <c r="B64" i="34"/>
  <c r="C257" i="35" s="1"/>
  <c r="B62" i="34"/>
  <c r="C256" i="35"/>
  <c r="B61" i="34"/>
  <c r="C255" i="35" s="1"/>
  <c r="B60" i="34"/>
  <c r="C254" i="35"/>
  <c r="B54" i="34"/>
  <c r="C253" i="35" s="1"/>
  <c r="B52" i="34"/>
  <c r="C252" i="35" s="1"/>
  <c r="B50" i="34"/>
  <c r="C251" i="35" s="1"/>
  <c r="B48" i="34"/>
  <c r="C250" i="35" s="1"/>
  <c r="B46" i="34"/>
  <c r="C249" i="35" s="1"/>
  <c r="B44" i="34"/>
  <c r="C248" i="35" s="1"/>
  <c r="B43" i="34"/>
  <c r="C247" i="35" s="1"/>
  <c r="B41" i="34"/>
  <c r="C246" i="35" s="1"/>
  <c r="B39" i="34"/>
  <c r="C245" i="35" s="1"/>
  <c r="B37" i="34"/>
  <c r="C244" i="35" s="1"/>
  <c r="B36" i="34"/>
  <c r="C243" i="35" s="1"/>
  <c r="B34" i="34"/>
  <c r="C242" i="35" s="1"/>
  <c r="B32" i="34"/>
  <c r="C241" i="35" s="1"/>
  <c r="B30" i="34"/>
  <c r="C240" i="35"/>
  <c r="B29" i="34"/>
  <c r="C239" i="35" s="1"/>
  <c r="B27" i="34"/>
  <c r="C238" i="35"/>
  <c r="B26" i="34"/>
  <c r="C237" i="35" s="1"/>
  <c r="B25" i="34"/>
  <c r="C236" i="35" s="1"/>
  <c r="B22" i="34"/>
  <c r="C235" i="35" s="1"/>
  <c r="B19" i="34"/>
  <c r="C234" i="35" s="1"/>
  <c r="B16" i="34"/>
  <c r="C233" i="35" s="1"/>
  <c r="B13" i="34"/>
  <c r="C232" i="35" s="1"/>
  <c r="B10" i="34"/>
  <c r="C231" i="35" s="1"/>
  <c r="B8" i="34"/>
  <c r="C230" i="35" s="1"/>
  <c r="B7" i="34"/>
  <c r="C229" i="35" s="1"/>
  <c r="B6" i="34"/>
  <c r="C228" i="35" s="1"/>
  <c r="B85" i="33"/>
  <c r="C226" i="35" s="1"/>
  <c r="B84" i="33"/>
  <c r="C225" i="35" s="1"/>
  <c r="B83" i="33"/>
  <c r="C224" i="35" s="1"/>
  <c r="B82" i="33"/>
  <c r="C223" i="35"/>
  <c r="B81" i="33"/>
  <c r="C222" i="35" s="1"/>
  <c r="B80" i="33"/>
  <c r="C221" i="35"/>
  <c r="B79" i="33"/>
  <c r="C220" i="35" s="1"/>
  <c r="B74" i="33"/>
  <c r="C219" i="35" s="1"/>
  <c r="B72" i="33"/>
  <c r="C218" i="35" s="1"/>
  <c r="B70" i="33"/>
  <c r="C217" i="35" s="1"/>
  <c r="B68" i="33"/>
  <c r="C216" i="35" s="1"/>
  <c r="B67" i="33"/>
  <c r="C215" i="35" s="1"/>
  <c r="B66" i="33"/>
  <c r="C214" i="35" s="1"/>
  <c r="B65" i="33"/>
  <c r="C213" i="35" s="1"/>
  <c r="B64" i="33"/>
  <c r="C212" i="35" s="1"/>
  <c r="B62" i="33"/>
  <c r="C211" i="35" s="1"/>
  <c r="B61" i="33"/>
  <c r="C210" i="35" s="1"/>
  <c r="B60" i="33"/>
  <c r="C209" i="35" s="1"/>
  <c r="B54" i="33"/>
  <c r="C208" i="35" s="1"/>
  <c r="B52" i="33"/>
  <c r="C207" i="35"/>
  <c r="B50" i="33"/>
  <c r="C206" i="35" s="1"/>
  <c r="B48" i="33"/>
  <c r="C205" i="35" s="1"/>
  <c r="B46" i="33"/>
  <c r="C204" i="35" s="1"/>
  <c r="B44" i="33"/>
  <c r="C203" i="35" s="1"/>
  <c r="B43" i="33"/>
  <c r="C202" i="35" s="1"/>
  <c r="B41" i="33"/>
  <c r="C201" i="35" s="1"/>
  <c r="B39" i="33"/>
  <c r="C200" i="35" s="1"/>
  <c r="B37" i="33"/>
  <c r="C199" i="35" s="1"/>
  <c r="B36" i="33"/>
  <c r="C198" i="35" s="1"/>
  <c r="B34" i="33"/>
  <c r="C197" i="35" s="1"/>
  <c r="B32" i="33"/>
  <c r="C196" i="35" s="1"/>
  <c r="B30" i="33"/>
  <c r="C195" i="35" s="1"/>
  <c r="B29" i="33"/>
  <c r="C194" i="35" s="1"/>
  <c r="B27" i="33"/>
  <c r="C193" i="35" s="1"/>
  <c r="B26" i="33"/>
  <c r="C192" i="35" s="1"/>
  <c r="B25" i="33"/>
  <c r="C191" i="35"/>
  <c r="B22" i="33"/>
  <c r="C190" i="35" s="1"/>
  <c r="B19" i="33"/>
  <c r="C189" i="35"/>
  <c r="B16" i="33"/>
  <c r="C188" i="35" s="1"/>
  <c r="B13" i="33"/>
  <c r="C187" i="35" s="1"/>
  <c r="B10" i="33"/>
  <c r="C186" i="35" s="1"/>
  <c r="B8" i="33"/>
  <c r="C185" i="35" s="1"/>
  <c r="B7" i="33"/>
  <c r="C184" i="35" s="1"/>
  <c r="B6" i="33"/>
  <c r="C183" i="35" s="1"/>
  <c r="B84" i="32"/>
  <c r="C181" i="35" s="1"/>
  <c r="B83" i="32"/>
  <c r="C180" i="35" s="1"/>
  <c r="B82" i="32"/>
  <c r="C179" i="35" s="1"/>
  <c r="B81" i="32"/>
  <c r="C178" i="35" s="1"/>
  <c r="B80" i="32"/>
  <c r="C177" i="35" s="1"/>
  <c r="B79" i="32"/>
  <c r="C176" i="35" s="1"/>
  <c r="B78" i="32"/>
  <c r="C175" i="35" s="1"/>
  <c r="B72" i="32"/>
  <c r="C174" i="35"/>
  <c r="B70" i="32"/>
  <c r="C173" i="35" s="1"/>
  <c r="B68" i="32"/>
  <c r="C172" i="35" s="1"/>
  <c r="B67" i="32"/>
  <c r="C171" i="35" s="1"/>
  <c r="B66" i="32"/>
  <c r="C170" i="35" s="1"/>
  <c r="B65" i="32"/>
  <c r="C169" i="35" s="1"/>
  <c r="B64" i="32"/>
  <c r="C168" i="35" s="1"/>
  <c r="B62" i="32"/>
  <c r="C167" i="35" s="1"/>
  <c r="B61" i="32"/>
  <c r="C166" i="35" s="1"/>
  <c r="B60" i="32"/>
  <c r="C165" i="35" s="1"/>
  <c r="B54" i="32"/>
  <c r="C164" i="35" s="1"/>
  <c r="B52" i="32"/>
  <c r="C163" i="35" s="1"/>
  <c r="B50" i="32"/>
  <c r="C162" i="35" s="1"/>
  <c r="B48" i="32"/>
  <c r="C161" i="35" s="1"/>
  <c r="B46" i="32"/>
  <c r="C160" i="35" s="1"/>
  <c r="B44" i="32"/>
  <c r="C159" i="35" s="1"/>
  <c r="B43" i="32"/>
  <c r="C158" i="35"/>
  <c r="B41" i="32"/>
  <c r="C157" i="35" s="1"/>
  <c r="B39" i="32"/>
  <c r="C156" i="35"/>
  <c r="B37" i="32"/>
  <c r="C155" i="35" s="1"/>
  <c r="B36" i="32"/>
  <c r="C154" i="35" s="1"/>
  <c r="B34" i="32"/>
  <c r="C153" i="35" s="1"/>
  <c r="B32" i="32"/>
  <c r="C152" i="35" s="1"/>
  <c r="B30" i="32"/>
  <c r="C151" i="35" s="1"/>
  <c r="B29" i="32"/>
  <c r="C150" i="35" s="1"/>
  <c r="B27" i="32"/>
  <c r="C149" i="35" s="1"/>
  <c r="B26" i="32"/>
  <c r="C148" i="35" s="1"/>
  <c r="B25" i="32"/>
  <c r="C147" i="35" s="1"/>
  <c r="B22" i="32"/>
  <c r="C146" i="35"/>
  <c r="B19" i="32"/>
  <c r="C145" i="35" s="1"/>
  <c r="B16" i="32"/>
  <c r="C144" i="35" s="1"/>
  <c r="B13" i="32"/>
  <c r="C143" i="35" s="1"/>
  <c r="B10" i="32"/>
  <c r="C142" i="35" s="1"/>
  <c r="B8" i="32"/>
  <c r="C141" i="35" s="1"/>
  <c r="B7" i="32"/>
  <c r="C140" i="35" s="1"/>
  <c r="B6" i="32"/>
  <c r="C139" i="35" s="1"/>
  <c r="B84" i="31"/>
  <c r="C137" i="35" s="1"/>
  <c r="B83" i="31"/>
  <c r="C136" i="35" s="1"/>
  <c r="B82" i="31"/>
  <c r="C135" i="35" s="1"/>
  <c r="B81" i="31"/>
  <c r="C134" i="35" s="1"/>
  <c r="B80" i="31"/>
  <c r="C133" i="35"/>
  <c r="B79" i="31"/>
  <c r="C132" i="35" s="1"/>
  <c r="B78" i="31"/>
  <c r="C131" i="35"/>
  <c r="B72" i="31"/>
  <c r="C130" i="35" s="1"/>
  <c r="B70" i="31"/>
  <c r="C129" i="35"/>
  <c r="B68" i="31"/>
  <c r="C128" i="35" s="1"/>
  <c r="B67" i="31"/>
  <c r="C127" i="35"/>
  <c r="B66" i="31"/>
  <c r="C126" i="35" s="1"/>
  <c r="B65" i="31"/>
  <c r="C125" i="35"/>
  <c r="B64" i="31"/>
  <c r="C124" i="35" s="1"/>
  <c r="B62" i="31"/>
  <c r="C123" i="35"/>
  <c r="B61" i="31"/>
  <c r="C122" i="35" s="1"/>
  <c r="B60" i="31"/>
  <c r="C121" i="35"/>
  <c r="B54" i="31"/>
  <c r="C120" i="35" s="1"/>
  <c r="B52" i="31"/>
  <c r="C119" i="35"/>
  <c r="B50" i="31"/>
  <c r="C118" i="35" s="1"/>
  <c r="B48" i="31"/>
  <c r="C117" i="35"/>
  <c r="B46" i="31"/>
  <c r="C116" i="35" s="1"/>
  <c r="B44" i="31"/>
  <c r="C115" i="35"/>
  <c r="B43" i="31"/>
  <c r="C114" i="35" s="1"/>
  <c r="B41" i="31"/>
  <c r="C113" i="35"/>
  <c r="B39" i="31"/>
  <c r="C112" i="35" s="1"/>
  <c r="B37" i="31"/>
  <c r="C111" i="35"/>
  <c r="B36" i="31"/>
  <c r="C110" i="35" s="1"/>
  <c r="B34" i="31"/>
  <c r="C109" i="35" s="1"/>
  <c r="B32" i="31"/>
  <c r="C108" i="35" s="1"/>
  <c r="B30" i="31"/>
  <c r="C107" i="35" s="1"/>
  <c r="B29" i="31"/>
  <c r="C106" i="35" s="1"/>
  <c r="B27" i="31"/>
  <c r="C105" i="35"/>
  <c r="B26" i="31"/>
  <c r="C104" i="35" s="1"/>
  <c r="B25" i="31"/>
  <c r="C103" i="35" s="1"/>
  <c r="B22" i="31"/>
  <c r="C102" i="35" s="1"/>
  <c r="B19" i="31"/>
  <c r="C101" i="35" s="1"/>
  <c r="B16" i="31"/>
  <c r="C100" i="35" s="1"/>
  <c r="B13" i="31"/>
  <c r="C99" i="35" s="1"/>
  <c r="B10" i="31"/>
  <c r="C98" i="35" s="1"/>
  <c r="B8" i="31"/>
  <c r="C97" i="35" s="1"/>
  <c r="B7" i="31"/>
  <c r="C96" i="35" s="1"/>
  <c r="B6" i="31"/>
  <c r="C95" i="35" s="1"/>
  <c r="B52" i="30"/>
  <c r="C74" i="35" s="1"/>
  <c r="B50" i="30"/>
  <c r="C73" i="35" s="1"/>
  <c r="B48" i="30"/>
  <c r="C72" i="35" s="1"/>
  <c r="B46" i="30"/>
  <c r="C71" i="35" s="1"/>
  <c r="B44" i="30"/>
  <c r="C70" i="35" s="1"/>
  <c r="B39" i="30"/>
  <c r="C67" i="35"/>
  <c r="B37" i="30"/>
  <c r="C66" i="35" s="1"/>
  <c r="B34" i="30"/>
  <c r="C64" i="35" s="1"/>
  <c r="B32" i="30"/>
  <c r="C63" i="35" s="1"/>
  <c r="B30" i="30"/>
  <c r="C62" i="35"/>
  <c r="B29" i="30"/>
  <c r="C61" i="35" s="1"/>
  <c r="B27" i="30"/>
  <c r="C60" i="35"/>
  <c r="B26" i="30"/>
  <c r="C59" i="35" s="1"/>
  <c r="B22" i="30"/>
  <c r="C57" i="35"/>
  <c r="B19" i="30"/>
  <c r="C56" i="35" s="1"/>
  <c r="B16" i="30"/>
  <c r="C55" i="35" s="1"/>
  <c r="B13" i="30"/>
  <c r="C54" i="35" s="1"/>
  <c r="B10" i="30"/>
  <c r="C53" i="35"/>
  <c r="B8" i="30"/>
  <c r="C52" i="35" s="1"/>
  <c r="B7" i="30"/>
  <c r="C51" i="35"/>
  <c r="B54" i="30"/>
  <c r="C75" i="35" s="1"/>
  <c r="B43" i="30"/>
  <c r="C69" i="35" s="1"/>
  <c r="B41" i="30"/>
  <c r="C68" i="35" s="1"/>
  <c r="B36" i="30"/>
  <c r="C65" i="35"/>
  <c r="B25" i="30"/>
  <c r="C58" i="35" s="1"/>
  <c r="B6" i="30"/>
  <c r="C50" i="35" s="1"/>
  <c r="B68" i="30"/>
  <c r="C83" i="35" s="1"/>
  <c r="B62" i="30"/>
  <c r="C78" i="35" s="1"/>
  <c r="B74" i="30"/>
  <c r="C86" i="35" s="1"/>
  <c r="B72" i="30"/>
  <c r="C85" i="35"/>
  <c r="B70" i="30"/>
  <c r="C84" i="35" s="1"/>
  <c r="B67" i="30"/>
  <c r="C82" i="35" s="1"/>
  <c r="B66" i="30"/>
  <c r="C81" i="35" s="1"/>
  <c r="B65" i="30"/>
  <c r="C80" i="35" s="1"/>
  <c r="B64" i="30"/>
  <c r="C79" i="35" s="1"/>
  <c r="B61" i="30"/>
  <c r="C77" i="35" s="1"/>
  <c r="B60" i="30"/>
  <c r="C76" i="35" s="1"/>
  <c r="B85" i="30"/>
  <c r="C93" i="35" s="1"/>
  <c r="B83" i="30"/>
  <c r="C91" i="35" s="1"/>
  <c r="B82" i="30"/>
  <c r="C90" i="35" s="1"/>
  <c r="B81" i="30"/>
  <c r="C89" i="35" s="1"/>
  <c r="B80" i="30"/>
  <c r="C88" i="35"/>
  <c r="B84" i="30"/>
  <c r="C92" i="35" s="1"/>
  <c r="B79" i="30"/>
  <c r="C87" i="35"/>
  <c r="B84" i="8"/>
  <c r="C48" i="35" s="1"/>
  <c r="B83" i="8"/>
  <c r="C47" i="35"/>
  <c r="B82" i="8"/>
  <c r="C46" i="35" s="1"/>
  <c r="B81" i="8"/>
  <c r="C45" i="35"/>
  <c r="B80" i="8"/>
  <c r="C44" i="35" s="1"/>
  <c r="B79" i="8"/>
  <c r="C43" i="35"/>
  <c r="B78" i="8"/>
  <c r="C42" i="35" s="1"/>
  <c r="C41" i="35"/>
  <c r="C40" i="35"/>
  <c r="C39" i="35"/>
  <c r="C38" i="35"/>
  <c r="C37" i="35"/>
  <c r="C36" i="35"/>
  <c r="C35" i="35"/>
  <c r="C34" i="35"/>
  <c r="C32" i="35"/>
  <c r="B54" i="8"/>
  <c r="C31" i="35" s="1"/>
  <c r="B52" i="8"/>
  <c r="C30" i="35"/>
  <c r="B50" i="8"/>
  <c r="C29" i="35" s="1"/>
  <c r="B48" i="8"/>
  <c r="C28" i="35"/>
  <c r="B46" i="8"/>
  <c r="C27" i="35" s="1"/>
  <c r="B44" i="8"/>
  <c r="C26" i="35"/>
  <c r="B43" i="8"/>
  <c r="C25" i="35" s="1"/>
  <c r="B41" i="8"/>
  <c r="C24" i="35"/>
  <c r="B39" i="8"/>
  <c r="C23" i="35" s="1"/>
  <c r="B37" i="8"/>
  <c r="C22" i="35"/>
  <c r="B36" i="8"/>
  <c r="C21" i="35" s="1"/>
  <c r="B34" i="8"/>
  <c r="C20" i="35"/>
  <c r="B32" i="8"/>
  <c r="C19" i="35" s="1"/>
  <c r="B30" i="8"/>
  <c r="C18" i="35"/>
  <c r="B29" i="8"/>
  <c r="C17" i="35" s="1"/>
  <c r="B27" i="8"/>
  <c r="C16" i="35"/>
  <c r="B26" i="8"/>
  <c r="C15" i="35" s="1"/>
  <c r="B25" i="8"/>
  <c r="C14" i="35" s="1"/>
  <c r="B22" i="8"/>
  <c r="C13" i="35" s="1"/>
  <c r="B19" i="8"/>
  <c r="C12" i="35"/>
  <c r="B16" i="8"/>
  <c r="C11" i="35" s="1"/>
  <c r="B13" i="8"/>
  <c r="C10" i="35" s="1"/>
  <c r="B10" i="8"/>
  <c r="C9" i="35" s="1"/>
  <c r="B8" i="8"/>
  <c r="C8" i="35" s="1"/>
  <c r="B7" i="8"/>
  <c r="C7" i="35" s="1"/>
  <c r="B6" i="8"/>
  <c r="C6" i="35"/>
  <c r="B15" i="19"/>
  <c r="C169" i="2" s="1"/>
  <c r="B14" i="19"/>
  <c r="C168" i="2" s="1"/>
  <c r="B13" i="19"/>
  <c r="C167" i="2" s="1"/>
  <c r="B12" i="19"/>
  <c r="C166" i="2" s="1"/>
  <c r="B11" i="19"/>
  <c r="C165" i="2" s="1"/>
  <c r="B10" i="19"/>
  <c r="C164" i="2" s="1"/>
  <c r="B9" i="19"/>
  <c r="C163" i="2" s="1"/>
  <c r="B8" i="19"/>
  <c r="C162" i="2" s="1"/>
  <c r="B7" i="19"/>
  <c r="C161" i="2" s="1"/>
  <c r="B99" i="26"/>
  <c r="C157" i="2" s="1"/>
  <c r="B98" i="26"/>
  <c r="C156" i="2" s="1"/>
  <c r="B97" i="26"/>
  <c r="C155" i="2" s="1"/>
  <c r="B96" i="26"/>
  <c r="C154" i="2" s="1"/>
  <c r="B95" i="26"/>
  <c r="C153" i="2" s="1"/>
  <c r="B94" i="26"/>
  <c r="C152" i="2"/>
  <c r="B93" i="26"/>
  <c r="C151" i="2" s="1"/>
  <c r="B92" i="26"/>
  <c r="C150" i="2" s="1"/>
  <c r="B99" i="24"/>
  <c r="C106" i="2"/>
  <c r="B98" i="24"/>
  <c r="C105" i="2" s="1"/>
  <c r="B97" i="24"/>
  <c r="B96" i="24"/>
  <c r="C103" i="2" s="1"/>
  <c r="B95" i="24"/>
  <c r="C102" i="2" s="1"/>
  <c r="B94" i="24"/>
  <c r="C101" i="2"/>
  <c r="B93" i="24"/>
  <c r="C100" i="2" s="1"/>
  <c r="B92" i="24"/>
  <c r="C99" i="2" s="1"/>
  <c r="B99" i="16"/>
  <c r="C55" i="2" s="1"/>
  <c r="B98" i="16"/>
  <c r="C54" i="2" s="1"/>
  <c r="B97" i="16"/>
  <c r="C53" i="2" s="1"/>
  <c r="B96" i="16"/>
  <c r="C52" i="2" s="1"/>
  <c r="B95" i="16"/>
  <c r="C51" i="2" s="1"/>
  <c r="B94" i="16"/>
  <c r="C50" i="2" s="1"/>
  <c r="B93" i="16"/>
  <c r="C49" i="2" s="1"/>
  <c r="B92" i="16"/>
  <c r="B83" i="26"/>
  <c r="C149" i="2" s="1"/>
  <c r="B81" i="26"/>
  <c r="C148" i="2" s="1"/>
  <c r="B79" i="26"/>
  <c r="B78" i="26"/>
  <c r="C146" i="2"/>
  <c r="B77" i="26"/>
  <c r="C145" i="2" s="1"/>
  <c r="B76" i="26"/>
  <c r="C144" i="2"/>
  <c r="B75" i="26"/>
  <c r="C143" i="2" s="1"/>
  <c r="B73" i="26"/>
  <c r="C142" i="2" s="1"/>
  <c r="B72" i="26"/>
  <c r="C141" i="2" s="1"/>
  <c r="B71" i="26"/>
  <c r="C140" i="2" s="1"/>
  <c r="B83" i="24"/>
  <c r="C98" i="2" s="1"/>
  <c r="B81" i="24"/>
  <c r="B79" i="24"/>
  <c r="B78" i="24"/>
  <c r="C95" i="2" s="1"/>
  <c r="B77" i="24"/>
  <c r="C94" i="2" s="1"/>
  <c r="B76" i="24"/>
  <c r="C93" i="2" s="1"/>
  <c r="B75" i="24"/>
  <c r="C92" i="2" s="1"/>
  <c r="B73" i="24"/>
  <c r="C91" i="2"/>
  <c r="B72" i="24"/>
  <c r="C90" i="2" s="1"/>
  <c r="B71" i="24"/>
  <c r="C89" i="2" s="1"/>
  <c r="B83" i="16"/>
  <c r="C47" i="2"/>
  <c r="B81" i="16"/>
  <c r="C46" i="2" s="1"/>
  <c r="B79" i="16"/>
  <c r="C45" i="2" s="1"/>
  <c r="B78" i="16"/>
  <c r="C44" i="2" s="1"/>
  <c r="B77" i="16"/>
  <c r="C43" i="2" s="1"/>
  <c r="B76" i="16"/>
  <c r="C42" i="2" s="1"/>
  <c r="B75" i="16"/>
  <c r="C41" i="2"/>
  <c r="B73" i="16"/>
  <c r="C40" i="2" s="1"/>
  <c r="B72" i="16"/>
  <c r="C39" i="2" s="1"/>
  <c r="B71" i="16"/>
  <c r="C38" i="2" s="1"/>
  <c r="B63" i="26"/>
  <c r="C139" i="2" s="1"/>
  <c r="B61" i="26"/>
  <c r="B59" i="26"/>
  <c r="C137" i="2" s="1"/>
  <c r="B57" i="26"/>
  <c r="C136" i="2" s="1"/>
  <c r="B55" i="26"/>
  <c r="C135" i="2" s="1"/>
  <c r="B53" i="26"/>
  <c r="B52" i="26"/>
  <c r="B51" i="26"/>
  <c r="C132" i="2" s="1"/>
  <c r="B49" i="26"/>
  <c r="B47" i="26"/>
  <c r="B45" i="26"/>
  <c r="C129" i="2" s="1"/>
  <c r="B43" i="26"/>
  <c r="C128" i="2"/>
  <c r="B42" i="26"/>
  <c r="C127" i="2" s="1"/>
  <c r="B41" i="26"/>
  <c r="C126" i="2" s="1"/>
  <c r="B39" i="26"/>
  <c r="C125" i="2"/>
  <c r="B37" i="26"/>
  <c r="C124" i="2" s="1"/>
  <c r="B35" i="26"/>
  <c r="B33" i="26"/>
  <c r="C122" i="2" s="1"/>
  <c r="B32" i="26"/>
  <c r="B30" i="26"/>
  <c r="C120" i="2"/>
  <c r="B29" i="26"/>
  <c r="C119" i="2" s="1"/>
  <c r="B28" i="26"/>
  <c r="B25" i="26"/>
  <c r="C117" i="2" s="1"/>
  <c r="B22" i="26"/>
  <c r="C116" i="2" s="1"/>
  <c r="B19" i="26"/>
  <c r="C115" i="2" s="1"/>
  <c r="B16" i="26"/>
  <c r="C114" i="2" s="1"/>
  <c r="B13" i="26"/>
  <c r="C113" i="2" s="1"/>
  <c r="B11" i="26"/>
  <c r="C112" i="2" s="1"/>
  <c r="B10" i="26"/>
  <c r="B8" i="26"/>
  <c r="C110" i="2"/>
  <c r="B7" i="26"/>
  <c r="C109" i="2" s="1"/>
  <c r="B6" i="26"/>
  <c r="C108" i="2" s="1"/>
  <c r="B63" i="24"/>
  <c r="C88" i="2" s="1"/>
  <c r="B61" i="24"/>
  <c r="C87" i="2" s="1"/>
  <c r="B59" i="24"/>
  <c r="B57" i="24"/>
  <c r="C85" i="2" s="1"/>
  <c r="B55" i="24"/>
  <c r="C84" i="2" s="1"/>
  <c r="B53" i="24"/>
  <c r="C83" i="2" s="1"/>
  <c r="B52" i="24"/>
  <c r="C82" i="2" s="1"/>
  <c r="B51" i="24"/>
  <c r="C81" i="2"/>
  <c r="B49" i="24"/>
  <c r="B47" i="24"/>
  <c r="C79" i="2" s="1"/>
  <c r="B45" i="24"/>
  <c r="C78" i="2" s="1"/>
  <c r="B43" i="24"/>
  <c r="C77" i="2" s="1"/>
  <c r="B42" i="24"/>
  <c r="B41" i="24"/>
  <c r="C75" i="2" s="1"/>
  <c r="B39" i="24"/>
  <c r="C74" i="2" s="1"/>
  <c r="B37" i="24"/>
  <c r="C73" i="2"/>
  <c r="B35" i="24"/>
  <c r="B33" i="24"/>
  <c r="C71" i="2"/>
  <c r="B32" i="24"/>
  <c r="C70" i="2" s="1"/>
  <c r="B30" i="24"/>
  <c r="C69" i="2" s="1"/>
  <c r="B29" i="24"/>
  <c r="C68" i="2"/>
  <c r="B28" i="24"/>
  <c r="C67" i="2" s="1"/>
  <c r="B25" i="24"/>
  <c r="C66" i="2" s="1"/>
  <c r="B22" i="24"/>
  <c r="C65" i="2" s="1"/>
  <c r="B19" i="24"/>
  <c r="C64" i="2" s="1"/>
  <c r="B16" i="24"/>
  <c r="C63" i="2" s="1"/>
  <c r="B13" i="24"/>
  <c r="C62" i="2" s="1"/>
  <c r="B11" i="24"/>
  <c r="C61" i="2"/>
  <c r="B10" i="24"/>
  <c r="C60" i="2" s="1"/>
  <c r="B8" i="24"/>
  <c r="B7" i="24"/>
  <c r="C58" i="2"/>
  <c r="B6" i="24"/>
  <c r="C57" i="2" s="1"/>
  <c r="B63" i="16"/>
  <c r="C37" i="2"/>
  <c r="B61" i="16"/>
  <c r="C36" i="2" s="1"/>
  <c r="B59" i="16"/>
  <c r="C35" i="2"/>
  <c r="B57" i="16"/>
  <c r="C34" i="2" s="1"/>
  <c r="B55" i="16"/>
  <c r="C33" i="2"/>
  <c r="B53" i="16"/>
  <c r="C32" i="2" s="1"/>
  <c r="B52" i="16"/>
  <c r="C31" i="2"/>
  <c r="B51" i="16"/>
  <c r="C30" i="2" s="1"/>
  <c r="B49" i="16"/>
  <c r="C29" i="2"/>
  <c r="B47" i="16"/>
  <c r="C28" i="2" s="1"/>
  <c r="B45" i="16"/>
  <c r="C27" i="2"/>
  <c r="B43" i="16"/>
  <c r="C26" i="2" s="1"/>
  <c r="B42" i="16"/>
  <c r="C25" i="2"/>
  <c r="B41" i="16"/>
  <c r="C24" i="2" s="1"/>
  <c r="B39" i="16"/>
  <c r="C23" i="2"/>
  <c r="B37" i="16"/>
  <c r="C22" i="2" s="1"/>
  <c r="B35" i="16"/>
  <c r="C21" i="2"/>
  <c r="B33" i="16"/>
  <c r="C20" i="2" s="1"/>
  <c r="B32" i="16"/>
  <c r="C19" i="2" s="1"/>
  <c r="B30" i="16"/>
  <c r="C18" i="2" s="1"/>
  <c r="B29" i="16"/>
  <c r="C17" i="2" s="1"/>
  <c r="B28" i="16"/>
  <c r="C16" i="2" s="1"/>
  <c r="B25" i="16"/>
  <c r="C15" i="2"/>
  <c r="B22" i="16"/>
  <c r="C14" i="2" s="1"/>
  <c r="B19" i="16"/>
  <c r="C13" i="2" s="1"/>
  <c r="B16" i="16"/>
  <c r="C12" i="2" s="1"/>
  <c r="B13" i="16"/>
  <c r="C11" i="2" s="1"/>
  <c r="B11" i="16"/>
  <c r="C10" i="2" s="1"/>
  <c r="B10" i="16"/>
  <c r="C9" i="2" s="1"/>
  <c r="B8" i="16"/>
  <c r="C8" i="2" s="1"/>
  <c r="B7" i="16"/>
  <c r="C7" i="2" s="1"/>
  <c r="B6" i="16"/>
  <c r="C6" i="2" s="1"/>
  <c r="C48" i="2"/>
  <c r="C121" i="2"/>
  <c r="C86" i="2"/>
  <c r="C147" i="2"/>
  <c r="C133" i="2"/>
  <c r="C134" i="2"/>
  <c r="C138" i="2"/>
  <c r="C111" i="2"/>
  <c r="C118" i="2"/>
  <c r="C123" i="2"/>
  <c r="C130" i="2"/>
  <c r="C131" i="2"/>
  <c r="C72" i="2"/>
  <c r="C76" i="2"/>
  <c r="C80" i="2"/>
  <c r="C96" i="2"/>
  <c r="C97" i="2"/>
  <c r="C104" i="2"/>
  <c r="C59" i="2"/>
  <c r="D90" i="19"/>
  <c r="D85" i="19"/>
  <c r="G89" i="19"/>
  <c r="E89" i="19"/>
  <c r="G84" i="19"/>
  <c r="E84" i="19"/>
  <c r="D80" i="19"/>
  <c r="D75" i="19"/>
  <c r="G79" i="19"/>
  <c r="E79" i="19"/>
  <c r="G74" i="19"/>
  <c r="E74" i="19"/>
  <c r="D70" i="19"/>
  <c r="D65" i="19"/>
  <c r="D60" i="19"/>
  <c r="D55" i="19"/>
  <c r="D50" i="19"/>
  <c r="D45" i="19"/>
  <c r="D40" i="19"/>
  <c r="D35" i="19"/>
  <c r="G69" i="19"/>
  <c r="E69" i="19"/>
  <c r="G64" i="19"/>
  <c r="E64" i="19"/>
  <c r="G59" i="19"/>
  <c r="E59" i="19"/>
  <c r="G54" i="19"/>
  <c r="E54" i="19"/>
  <c r="G49" i="19"/>
  <c r="E49" i="19"/>
  <c r="G44" i="19"/>
  <c r="E44" i="19"/>
  <c r="E130" i="19"/>
  <c r="E129" i="19"/>
  <c r="E128" i="19"/>
  <c r="E127" i="19"/>
  <c r="E126" i="19"/>
  <c r="E125" i="19"/>
  <c r="E124" i="19"/>
  <c r="E123" i="19"/>
  <c r="E122" i="19"/>
  <c r="E121" i="19"/>
  <c r="E105" i="19"/>
  <c r="E108" i="19" s="1"/>
  <c r="E111" i="19" s="1"/>
  <c r="E114" i="19" s="1"/>
  <c r="E117" i="19" s="1"/>
  <c r="E120" i="19" s="1"/>
  <c r="E104" i="19"/>
  <c r="E107" i="19" s="1"/>
  <c r="E110" i="19" s="1"/>
  <c r="E113" i="19" s="1"/>
  <c r="E116" i="19" s="1"/>
  <c r="E119" i="19" s="1"/>
  <c r="E103" i="19"/>
  <c r="E106" i="19" s="1"/>
  <c r="E109" i="19" s="1"/>
  <c r="E112" i="19" s="1"/>
  <c r="E115" i="19" s="1"/>
  <c r="E118" i="19" s="1"/>
  <c r="F107" i="19"/>
  <c r="F110" i="19"/>
  <c r="F113" i="19" s="1"/>
  <c r="F116" i="19" s="1"/>
  <c r="F119" i="19" s="1"/>
  <c r="L107" i="19"/>
  <c r="L110" i="19" s="1"/>
  <c r="L113" i="19" s="1"/>
  <c r="L116" i="19" s="1"/>
  <c r="L119" i="19" s="1"/>
  <c r="F108" i="19"/>
  <c r="F111" i="19" s="1"/>
  <c r="F114" i="19" s="1"/>
  <c r="F117" i="19"/>
  <c r="F120" i="19" s="1"/>
  <c r="L108" i="19"/>
  <c r="L111" i="19"/>
  <c r="L114" i="19"/>
  <c r="L117" i="19" s="1"/>
  <c r="L120" i="19" s="1"/>
  <c r="L106" i="19"/>
  <c r="L109" i="19" s="1"/>
  <c r="L112" i="19" s="1"/>
  <c r="L115" i="19" s="1"/>
  <c r="L118" i="19" s="1"/>
  <c r="F106" i="19"/>
  <c r="F109" i="19" s="1"/>
  <c r="F112" i="19" s="1"/>
  <c r="F115" i="19" s="1"/>
  <c r="F118" i="19" s="1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L77" i="34"/>
  <c r="K77" i="34"/>
  <c r="E84" i="34"/>
  <c r="D84" i="34"/>
  <c r="E83" i="34"/>
  <c r="D83" i="34"/>
  <c r="E82" i="34"/>
  <c r="D82" i="34"/>
  <c r="E81" i="34"/>
  <c r="D81" i="34"/>
  <c r="E80" i="34"/>
  <c r="D80" i="34"/>
  <c r="E79" i="34"/>
  <c r="D79" i="34"/>
  <c r="E78" i="34"/>
  <c r="D78" i="34"/>
  <c r="L59" i="34"/>
  <c r="K59" i="34"/>
  <c r="E72" i="34"/>
  <c r="D72" i="34"/>
  <c r="E70" i="34"/>
  <c r="D70" i="34"/>
  <c r="E68" i="34"/>
  <c r="D68" i="34"/>
  <c r="E67" i="34"/>
  <c r="D67" i="34"/>
  <c r="E66" i="34"/>
  <c r="D66" i="34"/>
  <c r="E65" i="34"/>
  <c r="D65" i="34"/>
  <c r="E64" i="34"/>
  <c r="D64" i="34"/>
  <c r="E62" i="34"/>
  <c r="D62" i="34"/>
  <c r="E61" i="34"/>
  <c r="D61" i="34"/>
  <c r="E60" i="34"/>
  <c r="D60" i="34"/>
  <c r="Z5" i="34"/>
  <c r="Y5" i="34"/>
  <c r="X5" i="34"/>
  <c r="W5" i="34"/>
  <c r="V5" i="34"/>
  <c r="U5" i="34"/>
  <c r="T5" i="34"/>
  <c r="S5" i="34"/>
  <c r="R5" i="34"/>
  <c r="N5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3" i="34"/>
  <c r="D22" i="34"/>
  <c r="D20" i="34"/>
  <c r="D19" i="34"/>
  <c r="D17" i="34"/>
  <c r="D16" i="34"/>
  <c r="D14" i="34"/>
  <c r="D13" i="34"/>
  <c r="D11" i="34"/>
  <c r="D10" i="34"/>
  <c r="D8" i="34"/>
  <c r="D7" i="34"/>
  <c r="D6" i="34"/>
  <c r="F54" i="34"/>
  <c r="F52" i="34"/>
  <c r="F50" i="34"/>
  <c r="F48" i="34"/>
  <c r="F46" i="34"/>
  <c r="F44" i="34"/>
  <c r="F43" i="34"/>
  <c r="F41" i="34"/>
  <c r="F39" i="34"/>
  <c r="F37" i="34"/>
  <c r="F36" i="34"/>
  <c r="F34" i="34"/>
  <c r="F32" i="34"/>
  <c r="F30" i="34"/>
  <c r="F29" i="34"/>
  <c r="F27" i="34"/>
  <c r="F26" i="34"/>
  <c r="F25" i="34"/>
  <c r="F22" i="34"/>
  <c r="F19" i="34"/>
  <c r="F16" i="34"/>
  <c r="F13" i="34"/>
  <c r="F10" i="34"/>
  <c r="F8" i="34"/>
  <c r="F7" i="34"/>
  <c r="F6" i="34"/>
  <c r="L78" i="33"/>
  <c r="K78" i="33"/>
  <c r="L59" i="33"/>
  <c r="K59" i="33"/>
  <c r="E85" i="33"/>
  <c r="D85" i="33"/>
  <c r="E84" i="33"/>
  <c r="D84" i="33"/>
  <c r="E83" i="33"/>
  <c r="D83" i="33"/>
  <c r="E82" i="33"/>
  <c r="D82" i="33"/>
  <c r="E81" i="33"/>
  <c r="D81" i="33"/>
  <c r="E80" i="33"/>
  <c r="D80" i="33"/>
  <c r="E79" i="33"/>
  <c r="D79" i="33"/>
  <c r="E74" i="33"/>
  <c r="D74" i="33"/>
  <c r="E72" i="33"/>
  <c r="D72" i="33"/>
  <c r="E70" i="33"/>
  <c r="D70" i="33"/>
  <c r="E68" i="33"/>
  <c r="D68" i="33"/>
  <c r="E67" i="33"/>
  <c r="D67" i="33"/>
  <c r="E66" i="33"/>
  <c r="D66" i="33"/>
  <c r="E65" i="33"/>
  <c r="D65" i="33"/>
  <c r="E64" i="33"/>
  <c r="D64" i="33"/>
  <c r="E62" i="33"/>
  <c r="D62" i="33"/>
  <c r="E61" i="33"/>
  <c r="D61" i="33"/>
  <c r="E60" i="33"/>
  <c r="D60" i="33"/>
  <c r="Z5" i="33"/>
  <c r="Y5" i="33"/>
  <c r="X5" i="33"/>
  <c r="W5" i="33"/>
  <c r="V5" i="33"/>
  <c r="U5" i="33"/>
  <c r="T5" i="33"/>
  <c r="S5" i="33"/>
  <c r="R5" i="33"/>
  <c r="N5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3" i="33"/>
  <c r="D22" i="33"/>
  <c r="D20" i="33"/>
  <c r="D19" i="33"/>
  <c r="D17" i="33"/>
  <c r="D16" i="33"/>
  <c r="D14" i="33"/>
  <c r="D13" i="33"/>
  <c r="D11" i="33"/>
  <c r="D10" i="33"/>
  <c r="D8" i="33"/>
  <c r="D7" i="33"/>
  <c r="D6" i="33"/>
  <c r="F54" i="33"/>
  <c r="F52" i="33"/>
  <c r="F50" i="33"/>
  <c r="F48" i="33"/>
  <c r="F46" i="33"/>
  <c r="F44" i="33"/>
  <c r="F43" i="33"/>
  <c r="F41" i="33"/>
  <c r="F39" i="33"/>
  <c r="F37" i="33"/>
  <c r="F36" i="33"/>
  <c r="F34" i="33"/>
  <c r="F32" i="33"/>
  <c r="F30" i="33"/>
  <c r="F29" i="33"/>
  <c r="F27" i="33"/>
  <c r="F26" i="33"/>
  <c r="F25" i="33"/>
  <c r="F22" i="33"/>
  <c r="F19" i="33"/>
  <c r="F16" i="33"/>
  <c r="F13" i="33"/>
  <c r="F10" i="33"/>
  <c r="F8" i="33"/>
  <c r="F7" i="33"/>
  <c r="F6" i="33"/>
  <c r="E84" i="32"/>
  <c r="D84" i="32"/>
  <c r="E83" i="32"/>
  <c r="D83" i="32"/>
  <c r="E82" i="32"/>
  <c r="D82" i="32"/>
  <c r="E81" i="32"/>
  <c r="D81" i="32"/>
  <c r="E80" i="32"/>
  <c r="D80" i="32"/>
  <c r="E79" i="32"/>
  <c r="D79" i="32"/>
  <c r="E78" i="32"/>
  <c r="D78" i="32"/>
  <c r="E72" i="32"/>
  <c r="D72" i="32"/>
  <c r="E70" i="32"/>
  <c r="D70" i="32"/>
  <c r="E68" i="32"/>
  <c r="D68" i="32"/>
  <c r="E67" i="32"/>
  <c r="D67" i="32"/>
  <c r="E66" i="32"/>
  <c r="D66" i="32"/>
  <c r="E65" i="32"/>
  <c r="D65" i="32"/>
  <c r="E64" i="32"/>
  <c r="D64" i="32"/>
  <c r="E62" i="32"/>
  <c r="D62" i="32"/>
  <c r="E61" i="32"/>
  <c r="D61" i="32"/>
  <c r="E60" i="32"/>
  <c r="D60" i="32"/>
  <c r="L77" i="32"/>
  <c r="K77" i="32"/>
  <c r="L59" i="32"/>
  <c r="K59" i="32"/>
  <c r="Z5" i="32"/>
  <c r="Y5" i="32"/>
  <c r="X5" i="32"/>
  <c r="W5" i="32"/>
  <c r="V5" i="32"/>
  <c r="U5" i="32"/>
  <c r="T5" i="32"/>
  <c r="S5" i="32"/>
  <c r="R5" i="32"/>
  <c r="N5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3" i="32"/>
  <c r="D22" i="32"/>
  <c r="D20" i="32"/>
  <c r="D19" i="32"/>
  <c r="D17" i="32"/>
  <c r="D16" i="32"/>
  <c r="D14" i="32"/>
  <c r="D13" i="32"/>
  <c r="D11" i="32"/>
  <c r="D10" i="32"/>
  <c r="D8" i="32"/>
  <c r="D7" i="32"/>
  <c r="D6" i="32"/>
  <c r="F54" i="32"/>
  <c r="F52" i="32"/>
  <c r="F50" i="32"/>
  <c r="F48" i="32"/>
  <c r="F46" i="32"/>
  <c r="F44" i="32"/>
  <c r="F43" i="32"/>
  <c r="F41" i="32"/>
  <c r="F39" i="32"/>
  <c r="F37" i="32"/>
  <c r="F36" i="32"/>
  <c r="F34" i="32"/>
  <c r="F32" i="32"/>
  <c r="F30" i="32"/>
  <c r="F29" i="32"/>
  <c r="F27" i="32"/>
  <c r="F26" i="32"/>
  <c r="F25" i="32"/>
  <c r="F22" i="32"/>
  <c r="F19" i="32"/>
  <c r="F16" i="32"/>
  <c r="F13" i="32"/>
  <c r="F10" i="32"/>
  <c r="F8" i="32"/>
  <c r="F7" i="32"/>
  <c r="F6" i="32"/>
  <c r="E84" i="31"/>
  <c r="D84" i="31"/>
  <c r="E83" i="31"/>
  <c r="D83" i="31"/>
  <c r="E82" i="31"/>
  <c r="D82" i="31"/>
  <c r="E81" i="31"/>
  <c r="D81" i="31"/>
  <c r="E80" i="31"/>
  <c r="D80" i="31"/>
  <c r="E79" i="31"/>
  <c r="D79" i="31"/>
  <c r="E78" i="31"/>
  <c r="D78" i="31"/>
  <c r="L77" i="31"/>
  <c r="K77" i="31"/>
  <c r="L59" i="31"/>
  <c r="K59" i="31"/>
  <c r="L59" i="30"/>
  <c r="K59" i="30"/>
  <c r="E72" i="31"/>
  <c r="D72" i="31"/>
  <c r="E70" i="31"/>
  <c r="D70" i="31"/>
  <c r="E68" i="31"/>
  <c r="D68" i="31"/>
  <c r="E67" i="31"/>
  <c r="D67" i="31"/>
  <c r="E66" i="31"/>
  <c r="D66" i="31"/>
  <c r="E65" i="31"/>
  <c r="D65" i="31"/>
  <c r="E64" i="31"/>
  <c r="D64" i="31"/>
  <c r="E62" i="31"/>
  <c r="D62" i="31"/>
  <c r="E61" i="31"/>
  <c r="D61" i="31"/>
  <c r="E60" i="31"/>
  <c r="D60" i="31"/>
  <c r="Z5" i="31"/>
  <c r="Y5" i="31"/>
  <c r="X5" i="31"/>
  <c r="W5" i="31"/>
  <c r="V5" i="31"/>
  <c r="U5" i="31"/>
  <c r="T5" i="31"/>
  <c r="S5" i="31"/>
  <c r="R5" i="31"/>
  <c r="N5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3" i="31"/>
  <c r="D22" i="31"/>
  <c r="D20" i="31"/>
  <c r="D19" i="31"/>
  <c r="D17" i="31"/>
  <c r="D16" i="31"/>
  <c r="D14" i="31"/>
  <c r="D13" i="31"/>
  <c r="D11" i="31"/>
  <c r="D10" i="31"/>
  <c r="D8" i="31"/>
  <c r="D7" i="31"/>
  <c r="D6" i="31"/>
  <c r="F54" i="31"/>
  <c r="F52" i="31"/>
  <c r="F50" i="31"/>
  <c r="F48" i="31"/>
  <c r="F46" i="31"/>
  <c r="F44" i="31"/>
  <c r="F43" i="31"/>
  <c r="F41" i="31"/>
  <c r="F39" i="31"/>
  <c r="F37" i="31"/>
  <c r="F36" i="31"/>
  <c r="F34" i="31"/>
  <c r="F32" i="31"/>
  <c r="F30" i="31"/>
  <c r="F29" i="31"/>
  <c r="F27" i="31"/>
  <c r="F26" i="31"/>
  <c r="F25" i="31"/>
  <c r="F22" i="31"/>
  <c r="F19" i="31"/>
  <c r="F16" i="31"/>
  <c r="F13" i="31"/>
  <c r="F10" i="31"/>
  <c r="F8" i="31"/>
  <c r="F7" i="31"/>
  <c r="F6" i="31"/>
  <c r="L78" i="30"/>
  <c r="K78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4" i="30"/>
  <c r="D74" i="30"/>
  <c r="E72" i="30"/>
  <c r="D72" i="30"/>
  <c r="E70" i="30"/>
  <c r="D70" i="30"/>
  <c r="E68" i="30"/>
  <c r="D68" i="30"/>
  <c r="E67" i="30"/>
  <c r="D67" i="30"/>
  <c r="E66" i="30"/>
  <c r="D66" i="30"/>
  <c r="E65" i="30"/>
  <c r="D65" i="30"/>
  <c r="E64" i="30"/>
  <c r="D64" i="30"/>
  <c r="E62" i="30"/>
  <c r="D62" i="30"/>
  <c r="E61" i="30"/>
  <c r="D61" i="30"/>
  <c r="E60" i="30"/>
  <c r="D60" i="30"/>
  <c r="N5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3" i="30"/>
  <c r="D22" i="30"/>
  <c r="D20" i="30"/>
  <c r="D19" i="30"/>
  <c r="D17" i="30"/>
  <c r="D16" i="30"/>
  <c r="D14" i="30"/>
  <c r="D13" i="30"/>
  <c r="D11" i="30"/>
  <c r="D10" i="30"/>
  <c r="D8" i="30"/>
  <c r="D7" i="30"/>
  <c r="D6" i="30"/>
  <c r="F54" i="30"/>
  <c r="F52" i="30"/>
  <c r="F50" i="30"/>
  <c r="F48" i="30"/>
  <c r="F46" i="30"/>
  <c r="F44" i="30"/>
  <c r="F43" i="30"/>
  <c r="F41" i="30"/>
  <c r="F39" i="30"/>
  <c r="F37" i="30"/>
  <c r="F36" i="30"/>
  <c r="F34" i="30"/>
  <c r="F32" i="30"/>
  <c r="F30" i="30"/>
  <c r="F29" i="30"/>
  <c r="F27" i="30"/>
  <c r="F26" i="30"/>
  <c r="F25" i="30"/>
  <c r="F22" i="30"/>
  <c r="F19" i="30"/>
  <c r="F16" i="30"/>
  <c r="F13" i="30"/>
  <c r="F10" i="30"/>
  <c r="F8" i="30"/>
  <c r="F7" i="30"/>
  <c r="F6" i="30"/>
  <c r="L77" i="8"/>
  <c r="K77" i="8"/>
  <c r="T5" i="8"/>
  <c r="S5" i="8"/>
  <c r="R5" i="8"/>
  <c r="T5" i="26"/>
  <c r="W5" i="26"/>
  <c r="V5" i="26"/>
  <c r="U5" i="26"/>
  <c r="H6" i="30"/>
  <c r="I6" i="30"/>
  <c r="K6" i="30"/>
  <c r="M6" i="30"/>
  <c r="P6" i="30"/>
  <c r="H7" i="30"/>
  <c r="I7" i="30"/>
  <c r="K7" i="30"/>
  <c r="M7" i="30"/>
  <c r="P7" i="30"/>
  <c r="H8" i="30"/>
  <c r="P8" i="30"/>
  <c r="H10" i="30"/>
  <c r="P10" i="30"/>
  <c r="H13" i="30"/>
  <c r="P13" i="30"/>
  <c r="H16" i="30"/>
  <c r="P16" i="30"/>
  <c r="H19" i="30"/>
  <c r="P19" i="30"/>
  <c r="H22" i="30"/>
  <c r="P22" i="30"/>
  <c r="I25" i="30"/>
  <c r="K25" i="30"/>
  <c r="M25" i="30"/>
  <c r="P25" i="30"/>
  <c r="H26" i="30"/>
  <c r="I26" i="30"/>
  <c r="K26" i="30"/>
  <c r="M26" i="30"/>
  <c r="P26" i="30"/>
  <c r="H27" i="30"/>
  <c r="I27" i="30"/>
  <c r="K27" i="30"/>
  <c r="M27" i="30"/>
  <c r="P27" i="30"/>
  <c r="H29" i="30"/>
  <c r="I29" i="30"/>
  <c r="K29" i="30"/>
  <c r="M29" i="30"/>
  <c r="P29" i="30"/>
  <c r="H30" i="30"/>
  <c r="I30" i="30"/>
  <c r="K30" i="30"/>
  <c r="M30" i="30"/>
  <c r="N30" i="30"/>
  <c r="P30" i="30"/>
  <c r="H32" i="30"/>
  <c r="P32" i="30"/>
  <c r="H34" i="30"/>
  <c r="P34" i="30"/>
  <c r="H36" i="30"/>
  <c r="I36" i="30"/>
  <c r="K36" i="30"/>
  <c r="M36" i="30"/>
  <c r="P36" i="30"/>
  <c r="H37" i="30"/>
  <c r="I37" i="30"/>
  <c r="K37" i="30"/>
  <c r="M37" i="30"/>
  <c r="N37" i="30"/>
  <c r="P37" i="30"/>
  <c r="H39" i="30"/>
  <c r="P39" i="30"/>
  <c r="H41" i="30"/>
  <c r="I41" i="30"/>
  <c r="K41" i="30"/>
  <c r="M41" i="30"/>
  <c r="N41" i="30"/>
  <c r="P41" i="30"/>
  <c r="H43" i="30"/>
  <c r="I43" i="30"/>
  <c r="K43" i="30"/>
  <c r="M43" i="30"/>
  <c r="P43" i="30"/>
  <c r="H44" i="30"/>
  <c r="I44" i="30"/>
  <c r="K44" i="30"/>
  <c r="M44" i="30"/>
  <c r="N44" i="30"/>
  <c r="P44" i="30"/>
  <c r="H46" i="30"/>
  <c r="I46" i="30"/>
  <c r="K46" i="30"/>
  <c r="M46" i="30"/>
  <c r="N46" i="30"/>
  <c r="P46" i="30"/>
  <c r="H48" i="30"/>
  <c r="I48" i="30"/>
  <c r="K48" i="30"/>
  <c r="M48" i="30"/>
  <c r="N48" i="30"/>
  <c r="P48" i="30"/>
  <c r="O49" i="30"/>
  <c r="H50" i="30"/>
  <c r="I50" i="30"/>
  <c r="K50" i="30"/>
  <c r="M50" i="30"/>
  <c r="N50" i="30"/>
  <c r="P50" i="30"/>
  <c r="O51" i="30"/>
  <c r="H52" i="30"/>
  <c r="I52" i="30"/>
  <c r="K52" i="30"/>
  <c r="M52" i="30"/>
  <c r="N52" i="30"/>
  <c r="P52" i="30"/>
  <c r="O53" i="30"/>
  <c r="H54" i="30"/>
  <c r="I54" i="30"/>
  <c r="K54" i="30"/>
  <c r="M54" i="30"/>
  <c r="N54" i="30"/>
  <c r="P54" i="30"/>
  <c r="G60" i="30"/>
  <c r="H60" i="30"/>
  <c r="I60" i="30"/>
  <c r="J60" i="30"/>
  <c r="P60" i="30"/>
  <c r="G61" i="30"/>
  <c r="H61" i="30"/>
  <c r="I61" i="30"/>
  <c r="J61" i="30"/>
  <c r="P61" i="30"/>
  <c r="G62" i="30"/>
  <c r="H62" i="30"/>
  <c r="I62" i="30"/>
  <c r="J62" i="30"/>
  <c r="N62" i="30"/>
  <c r="P62" i="30"/>
  <c r="G64" i="30"/>
  <c r="H64" i="30"/>
  <c r="I64" i="30"/>
  <c r="J64" i="30"/>
  <c r="P64" i="30"/>
  <c r="G65" i="30"/>
  <c r="H65" i="30"/>
  <c r="I65" i="30"/>
  <c r="J65" i="30"/>
  <c r="P65" i="30"/>
  <c r="G66" i="30"/>
  <c r="H66" i="30"/>
  <c r="I66" i="30"/>
  <c r="J66" i="30"/>
  <c r="P66" i="30"/>
  <c r="G67" i="30"/>
  <c r="H67" i="30"/>
  <c r="I67" i="30"/>
  <c r="J67" i="30"/>
  <c r="P67" i="30"/>
  <c r="G68" i="30"/>
  <c r="H68" i="30"/>
  <c r="I68" i="30"/>
  <c r="J68" i="30"/>
  <c r="M68" i="30"/>
  <c r="P68" i="30"/>
  <c r="I69" i="30"/>
  <c r="G70" i="30"/>
  <c r="H70" i="30"/>
  <c r="I70" i="30"/>
  <c r="J70" i="30"/>
  <c r="M70" i="30"/>
  <c r="P70" i="30"/>
  <c r="I71" i="30"/>
  <c r="G72" i="30"/>
  <c r="H72" i="30"/>
  <c r="I72" i="30"/>
  <c r="J72" i="30"/>
  <c r="M72" i="30"/>
  <c r="P72" i="30"/>
  <c r="I73" i="30"/>
  <c r="G74" i="30"/>
  <c r="H74" i="30"/>
  <c r="I74" i="30"/>
  <c r="J74" i="30"/>
  <c r="P74" i="30"/>
  <c r="H79" i="30"/>
  <c r="I79" i="30"/>
  <c r="J79" i="30"/>
  <c r="P79" i="30"/>
  <c r="H80" i="30"/>
  <c r="I80" i="30"/>
  <c r="J80" i="30"/>
  <c r="P80" i="30"/>
  <c r="H81" i="30"/>
  <c r="I81" i="30"/>
  <c r="J81" i="30"/>
  <c r="P81" i="30"/>
  <c r="G82" i="30"/>
  <c r="H82" i="30"/>
  <c r="I82" i="30"/>
  <c r="J82" i="30"/>
  <c r="P82" i="30"/>
  <c r="G83" i="30"/>
  <c r="H83" i="30"/>
  <c r="I83" i="30"/>
  <c r="J83" i="30"/>
  <c r="P83" i="30"/>
  <c r="G84" i="30"/>
  <c r="H84" i="30"/>
  <c r="I84" i="30"/>
  <c r="J84" i="30"/>
  <c r="P84" i="30"/>
  <c r="G85" i="30"/>
  <c r="H85" i="30"/>
  <c r="I85" i="30"/>
  <c r="J85" i="30"/>
  <c r="P85" i="30"/>
  <c r="N5" i="8"/>
  <c r="E84" i="8"/>
  <c r="E83" i="8"/>
  <c r="E82" i="8"/>
  <c r="E81" i="8"/>
  <c r="E80" i="8"/>
  <c r="E79" i="8"/>
  <c r="E78" i="8"/>
  <c r="F54" i="8"/>
  <c r="F52" i="8"/>
  <c r="F50" i="8"/>
  <c r="F48" i="8"/>
  <c r="F46" i="8"/>
  <c r="F44" i="8"/>
  <c r="F43" i="8"/>
  <c r="F41" i="8"/>
  <c r="F39" i="8"/>
  <c r="F37" i="8"/>
  <c r="F36" i="8"/>
  <c r="F34" i="8"/>
  <c r="F32" i="8"/>
  <c r="F30" i="8"/>
  <c r="F29" i="8"/>
  <c r="F27" i="8"/>
  <c r="F26" i="8"/>
  <c r="F25" i="8"/>
  <c r="F22" i="8"/>
  <c r="F19" i="8"/>
  <c r="F16" i="8"/>
  <c r="F13" i="8"/>
  <c r="F10" i="8"/>
  <c r="F8" i="8"/>
  <c r="F7" i="8"/>
  <c r="F6" i="8"/>
  <c r="D84" i="8"/>
  <c r="D83" i="8"/>
  <c r="D82" i="8"/>
  <c r="D81" i="8"/>
  <c r="D80" i="8"/>
  <c r="D79" i="8"/>
  <c r="D78" i="8"/>
  <c r="D55" i="8"/>
  <c r="D53" i="8"/>
  <c r="D51" i="8"/>
  <c r="D49" i="8"/>
  <c r="D47" i="8"/>
  <c r="D45" i="8"/>
  <c r="D42" i="8"/>
  <c r="D38" i="8"/>
  <c r="D31" i="8"/>
  <c r="D28" i="8"/>
  <c r="D40" i="8"/>
  <c r="D35" i="8"/>
  <c r="D33" i="8"/>
  <c r="D23" i="8"/>
  <c r="D20" i="8"/>
  <c r="D17" i="8"/>
  <c r="D14" i="8"/>
  <c r="D11" i="8"/>
  <c r="D54" i="8"/>
  <c r="D52" i="8"/>
  <c r="D50" i="8"/>
  <c r="D48" i="8"/>
  <c r="D46" i="8"/>
  <c r="D44" i="8"/>
  <c r="D43" i="8"/>
  <c r="D41" i="8"/>
  <c r="D39" i="8"/>
  <c r="D37" i="8"/>
  <c r="D36" i="8"/>
  <c r="D34" i="8"/>
  <c r="D32" i="8"/>
  <c r="D30" i="8"/>
  <c r="D29" i="8"/>
  <c r="D27" i="8"/>
  <c r="D26" i="8"/>
  <c r="D25" i="8"/>
  <c r="D22" i="8"/>
  <c r="D19" i="8"/>
  <c r="D16" i="8"/>
  <c r="D13" i="8"/>
  <c r="D10" i="8"/>
  <c r="D8" i="8"/>
  <c r="D7" i="8"/>
  <c r="D6" i="8"/>
  <c r="K130" i="19"/>
  <c r="J130" i="19"/>
  <c r="I130" i="19"/>
  <c r="H130" i="19"/>
  <c r="G130" i="19"/>
  <c r="K129" i="19"/>
  <c r="K132" i="19" s="1"/>
  <c r="J129" i="19"/>
  <c r="I129" i="19"/>
  <c r="H129" i="19"/>
  <c r="G129" i="19"/>
  <c r="K128" i="19"/>
  <c r="J128" i="19"/>
  <c r="I128" i="19"/>
  <c r="H128" i="19"/>
  <c r="G128" i="19"/>
  <c r="K127" i="19"/>
  <c r="J127" i="19"/>
  <c r="I127" i="19"/>
  <c r="H127" i="19"/>
  <c r="G127" i="19"/>
  <c r="G126" i="19"/>
  <c r="K125" i="19"/>
  <c r="G125" i="19"/>
  <c r="K124" i="19"/>
  <c r="H124" i="19"/>
  <c r="G124" i="19"/>
  <c r="K123" i="19"/>
  <c r="K131" i="19" s="1"/>
  <c r="H123" i="19"/>
  <c r="G123" i="19"/>
  <c r="K122" i="19"/>
  <c r="H122" i="19"/>
  <c r="G122" i="19"/>
  <c r="K121" i="19"/>
  <c r="H121" i="19"/>
  <c r="G121" i="19"/>
  <c r="K105" i="19"/>
  <c r="K108" i="19" s="1"/>
  <c r="K111" i="19" s="1"/>
  <c r="K114" i="19" s="1"/>
  <c r="K117" i="19" s="1"/>
  <c r="K120" i="19" s="1"/>
  <c r="J105" i="19"/>
  <c r="J108" i="19" s="1"/>
  <c r="J111" i="19" s="1"/>
  <c r="J114" i="19" s="1"/>
  <c r="J117" i="19" s="1"/>
  <c r="J120" i="19" s="1"/>
  <c r="I105" i="19"/>
  <c r="I108" i="19"/>
  <c r="I111" i="19" s="1"/>
  <c r="I114" i="19" s="1"/>
  <c r="I117" i="19" s="1"/>
  <c r="I120" i="19"/>
  <c r="H105" i="19"/>
  <c r="H108" i="19" s="1"/>
  <c r="H111" i="19" s="1"/>
  <c r="H114" i="19"/>
  <c r="H117" i="19" s="1"/>
  <c r="H120" i="19" s="1"/>
  <c r="G105" i="19"/>
  <c r="G108" i="19" s="1"/>
  <c r="G111" i="19" s="1"/>
  <c r="G114" i="19" s="1"/>
  <c r="G117" i="19" s="1"/>
  <c r="G120" i="19" s="1"/>
  <c r="K104" i="19"/>
  <c r="K107" i="19" s="1"/>
  <c r="K110" i="19" s="1"/>
  <c r="K113" i="19" s="1"/>
  <c r="K116" i="19" s="1"/>
  <c r="K119" i="19" s="1"/>
  <c r="J104" i="19"/>
  <c r="J107" i="19"/>
  <c r="J110" i="19" s="1"/>
  <c r="J113" i="19" s="1"/>
  <c r="J116" i="19" s="1"/>
  <c r="J119" i="19" s="1"/>
  <c r="I104" i="19"/>
  <c r="I107" i="19" s="1"/>
  <c r="I110" i="19" s="1"/>
  <c r="I113" i="19"/>
  <c r="I116" i="19" s="1"/>
  <c r="I119" i="19" s="1"/>
  <c r="H104" i="19"/>
  <c r="H107" i="19"/>
  <c r="H110" i="19" s="1"/>
  <c r="H113" i="19" s="1"/>
  <c r="H116" i="19" s="1"/>
  <c r="H119" i="19"/>
  <c r="G104" i="19"/>
  <c r="G107" i="19" s="1"/>
  <c r="G110" i="19" s="1"/>
  <c r="G113" i="19" s="1"/>
  <c r="G116" i="19" s="1"/>
  <c r="G119" i="19" s="1"/>
  <c r="K103" i="19"/>
  <c r="K106" i="19"/>
  <c r="K109" i="19" s="1"/>
  <c r="K112" i="19" s="1"/>
  <c r="K115" i="19" s="1"/>
  <c r="K118" i="19" s="1"/>
  <c r="J103" i="19"/>
  <c r="J106" i="19" s="1"/>
  <c r="J109" i="19" s="1"/>
  <c r="J112" i="19"/>
  <c r="J115" i="19" s="1"/>
  <c r="J118" i="19" s="1"/>
  <c r="I103" i="19"/>
  <c r="I106" i="19"/>
  <c r="I109" i="19" s="1"/>
  <c r="I112" i="19" s="1"/>
  <c r="I115" i="19" s="1"/>
  <c r="I118" i="19" s="1"/>
  <c r="H103" i="19"/>
  <c r="H106" i="19" s="1"/>
  <c r="H109" i="19" s="1"/>
  <c r="H112" i="19" s="1"/>
  <c r="H115" i="19" s="1"/>
  <c r="H118" i="19" s="1"/>
  <c r="G103" i="19"/>
  <c r="G106" i="19" s="1"/>
  <c r="G109" i="19" s="1"/>
  <c r="G112" i="19" s="1"/>
  <c r="G115" i="19" s="1"/>
  <c r="G118" i="19" s="1"/>
  <c r="P84" i="34"/>
  <c r="J84" i="34"/>
  <c r="I84" i="34"/>
  <c r="H84" i="34"/>
  <c r="G84" i="34"/>
  <c r="P83" i="34"/>
  <c r="J83" i="34"/>
  <c r="I83" i="34"/>
  <c r="H83" i="34"/>
  <c r="G83" i="34"/>
  <c r="P82" i="34"/>
  <c r="J82" i="34"/>
  <c r="I82" i="34"/>
  <c r="H82" i="34"/>
  <c r="G82" i="34"/>
  <c r="P81" i="34"/>
  <c r="J81" i="34"/>
  <c r="I81" i="34"/>
  <c r="H81" i="34"/>
  <c r="G81" i="34"/>
  <c r="P80" i="34"/>
  <c r="J80" i="34"/>
  <c r="I80" i="34"/>
  <c r="H80" i="34"/>
  <c r="P79" i="34"/>
  <c r="J79" i="34"/>
  <c r="I79" i="34"/>
  <c r="H79" i="34"/>
  <c r="P78" i="34"/>
  <c r="J78" i="34"/>
  <c r="I78" i="34"/>
  <c r="H78" i="34"/>
  <c r="P72" i="34"/>
  <c r="M72" i="34"/>
  <c r="J72" i="34"/>
  <c r="I72" i="34"/>
  <c r="H72" i="34"/>
  <c r="G72" i="34"/>
  <c r="P70" i="34"/>
  <c r="M70" i="34"/>
  <c r="J70" i="34"/>
  <c r="I70" i="34"/>
  <c r="H70" i="34"/>
  <c r="G70" i="34"/>
  <c r="P68" i="34"/>
  <c r="M68" i="34"/>
  <c r="J68" i="34"/>
  <c r="I68" i="34"/>
  <c r="H68" i="34"/>
  <c r="G68" i="34"/>
  <c r="P67" i="34"/>
  <c r="J67" i="34"/>
  <c r="I67" i="34"/>
  <c r="H67" i="34"/>
  <c r="G67" i="34"/>
  <c r="P66" i="34"/>
  <c r="J66" i="34"/>
  <c r="I66" i="34"/>
  <c r="H66" i="34"/>
  <c r="G66" i="34"/>
  <c r="P65" i="34"/>
  <c r="J65" i="34"/>
  <c r="I65" i="34"/>
  <c r="H65" i="34"/>
  <c r="G65" i="34"/>
  <c r="P64" i="34"/>
  <c r="J64" i="34"/>
  <c r="I64" i="34"/>
  <c r="H64" i="34"/>
  <c r="G64" i="34"/>
  <c r="P62" i="34"/>
  <c r="N62" i="34"/>
  <c r="J62" i="34"/>
  <c r="I62" i="34"/>
  <c r="H62" i="34"/>
  <c r="G62" i="34"/>
  <c r="P61" i="34"/>
  <c r="J61" i="34"/>
  <c r="I61" i="34"/>
  <c r="H61" i="34"/>
  <c r="G61" i="34"/>
  <c r="P60" i="34"/>
  <c r="J60" i="34"/>
  <c r="I60" i="34"/>
  <c r="H60" i="34"/>
  <c r="G60" i="34"/>
  <c r="P54" i="34"/>
  <c r="N54" i="34"/>
  <c r="M54" i="34"/>
  <c r="K54" i="34"/>
  <c r="I54" i="34"/>
  <c r="H54" i="34"/>
  <c r="O53" i="34"/>
  <c r="P52" i="34"/>
  <c r="N52" i="34"/>
  <c r="M52" i="34"/>
  <c r="K52" i="34"/>
  <c r="I52" i="34"/>
  <c r="H52" i="34"/>
  <c r="O51" i="34"/>
  <c r="P50" i="34"/>
  <c r="N50" i="34"/>
  <c r="M50" i="34"/>
  <c r="K50" i="34"/>
  <c r="I50" i="34"/>
  <c r="H50" i="34"/>
  <c r="O49" i="34"/>
  <c r="P48" i="34"/>
  <c r="N48" i="34"/>
  <c r="M48" i="34"/>
  <c r="K48" i="34"/>
  <c r="I48" i="34"/>
  <c r="H48" i="34"/>
  <c r="P46" i="34"/>
  <c r="N46" i="34"/>
  <c r="M46" i="34"/>
  <c r="K46" i="34"/>
  <c r="I46" i="34"/>
  <c r="H46" i="34"/>
  <c r="P44" i="34"/>
  <c r="N44" i="34"/>
  <c r="M44" i="34"/>
  <c r="K44" i="34"/>
  <c r="I44" i="34"/>
  <c r="H44" i="34"/>
  <c r="P43" i="34"/>
  <c r="M43" i="34"/>
  <c r="K43" i="34"/>
  <c r="I43" i="34"/>
  <c r="H43" i="34"/>
  <c r="P41" i="34"/>
  <c r="N41" i="34"/>
  <c r="M41" i="34"/>
  <c r="K41" i="34"/>
  <c r="I41" i="34"/>
  <c r="H41" i="34"/>
  <c r="R39" i="34"/>
  <c r="P39" i="34"/>
  <c r="H39" i="34"/>
  <c r="AB38" i="34"/>
  <c r="AA38" i="34"/>
  <c r="P37" i="34"/>
  <c r="N37" i="34"/>
  <c r="M37" i="34"/>
  <c r="K37" i="34"/>
  <c r="I37" i="34"/>
  <c r="H37" i="34"/>
  <c r="P36" i="34"/>
  <c r="M36" i="34"/>
  <c r="K36" i="34"/>
  <c r="I36" i="34"/>
  <c r="H36" i="34"/>
  <c r="AB35" i="34"/>
  <c r="AA35" i="34"/>
  <c r="P34" i="34"/>
  <c r="H34" i="34"/>
  <c r="AB33" i="34"/>
  <c r="AA33" i="34"/>
  <c r="P32" i="34"/>
  <c r="H32" i="34"/>
  <c r="AB31" i="34"/>
  <c r="AA31" i="34"/>
  <c r="P30" i="34"/>
  <c r="N30" i="34"/>
  <c r="M30" i="34"/>
  <c r="K30" i="34"/>
  <c r="I30" i="34"/>
  <c r="H30" i="34"/>
  <c r="P29" i="34"/>
  <c r="M29" i="34"/>
  <c r="K29" i="34"/>
  <c r="I29" i="34"/>
  <c r="H29" i="34"/>
  <c r="P27" i="34"/>
  <c r="N27" i="34"/>
  <c r="M27" i="34"/>
  <c r="K27" i="34"/>
  <c r="I27" i="34"/>
  <c r="H27" i="34"/>
  <c r="P26" i="34"/>
  <c r="M26" i="34"/>
  <c r="K26" i="34"/>
  <c r="I26" i="34"/>
  <c r="H26" i="34"/>
  <c r="P25" i="34"/>
  <c r="M25" i="34"/>
  <c r="K25" i="34"/>
  <c r="I25" i="34"/>
  <c r="AB23" i="34"/>
  <c r="AA23" i="34"/>
  <c r="P22" i="34"/>
  <c r="H22" i="34"/>
  <c r="AB21" i="34"/>
  <c r="AA21" i="34"/>
  <c r="AB20" i="34"/>
  <c r="AA20" i="34"/>
  <c r="P19" i="34"/>
  <c r="H19" i="34"/>
  <c r="AB18" i="34"/>
  <c r="AA18" i="34"/>
  <c r="AB17" i="34"/>
  <c r="AA17" i="34"/>
  <c r="P16" i="34"/>
  <c r="H16" i="34"/>
  <c r="AB15" i="34"/>
  <c r="AA15" i="34"/>
  <c r="AB14" i="34"/>
  <c r="AA14" i="34"/>
  <c r="P13" i="34"/>
  <c r="H13" i="34"/>
  <c r="AB12" i="34"/>
  <c r="AA12" i="34"/>
  <c r="AB11" i="34"/>
  <c r="AA11" i="34"/>
  <c r="P10" i="34"/>
  <c r="H10" i="34"/>
  <c r="AB9" i="34"/>
  <c r="AA9" i="34"/>
  <c r="P8" i="34"/>
  <c r="H8" i="34"/>
  <c r="P7" i="34"/>
  <c r="M7" i="34"/>
  <c r="K7" i="34"/>
  <c r="I7" i="34"/>
  <c r="H7" i="34"/>
  <c r="P6" i="34"/>
  <c r="M6" i="34"/>
  <c r="K6" i="34"/>
  <c r="I6" i="34"/>
  <c r="H6" i="34"/>
  <c r="P85" i="33"/>
  <c r="J85" i="33"/>
  <c r="I85" i="33"/>
  <c r="H85" i="33"/>
  <c r="G85" i="33"/>
  <c r="P84" i="33"/>
  <c r="J84" i="33"/>
  <c r="I84" i="33"/>
  <c r="H84" i="33"/>
  <c r="G84" i="33"/>
  <c r="P83" i="33"/>
  <c r="J83" i="33"/>
  <c r="I83" i="33"/>
  <c r="H83" i="33"/>
  <c r="G83" i="33"/>
  <c r="P82" i="33"/>
  <c r="J82" i="33"/>
  <c r="I82" i="33"/>
  <c r="H82" i="33"/>
  <c r="G82" i="33"/>
  <c r="P81" i="33"/>
  <c r="J81" i="33"/>
  <c r="I81" i="33"/>
  <c r="H81" i="33"/>
  <c r="P80" i="33"/>
  <c r="J80" i="33"/>
  <c r="I80" i="33"/>
  <c r="H80" i="33"/>
  <c r="P79" i="33"/>
  <c r="J79" i="33"/>
  <c r="I79" i="33"/>
  <c r="H79" i="33"/>
  <c r="P74" i="33"/>
  <c r="J74" i="33"/>
  <c r="I74" i="33"/>
  <c r="H74" i="33"/>
  <c r="G74" i="33"/>
  <c r="I73" i="33"/>
  <c r="P72" i="33"/>
  <c r="M72" i="33"/>
  <c r="J72" i="33"/>
  <c r="I72" i="33"/>
  <c r="H72" i="33"/>
  <c r="G72" i="33"/>
  <c r="I71" i="33"/>
  <c r="P70" i="33"/>
  <c r="M70" i="33"/>
  <c r="J70" i="33"/>
  <c r="I70" i="33"/>
  <c r="H70" i="33"/>
  <c r="G70" i="33"/>
  <c r="I69" i="33"/>
  <c r="P68" i="33"/>
  <c r="M68" i="33"/>
  <c r="J68" i="33"/>
  <c r="I68" i="33"/>
  <c r="H68" i="33"/>
  <c r="G68" i="33"/>
  <c r="P67" i="33"/>
  <c r="J67" i="33"/>
  <c r="I67" i="33"/>
  <c r="H67" i="33"/>
  <c r="G67" i="33"/>
  <c r="P66" i="33"/>
  <c r="J66" i="33"/>
  <c r="I66" i="33"/>
  <c r="H66" i="33"/>
  <c r="G66" i="33"/>
  <c r="P65" i="33"/>
  <c r="J65" i="33"/>
  <c r="I65" i="33"/>
  <c r="H65" i="33"/>
  <c r="G65" i="33"/>
  <c r="P64" i="33"/>
  <c r="J64" i="33"/>
  <c r="I64" i="33"/>
  <c r="H64" i="33"/>
  <c r="G64" i="33"/>
  <c r="P62" i="33"/>
  <c r="N62" i="33"/>
  <c r="J62" i="33"/>
  <c r="I62" i="33"/>
  <c r="H62" i="33"/>
  <c r="G62" i="33"/>
  <c r="P61" i="33"/>
  <c r="J61" i="33"/>
  <c r="I61" i="33"/>
  <c r="H61" i="33"/>
  <c r="G61" i="33"/>
  <c r="P60" i="33"/>
  <c r="J60" i="33"/>
  <c r="I60" i="33"/>
  <c r="H60" i="33"/>
  <c r="G60" i="33"/>
  <c r="P54" i="33"/>
  <c r="N54" i="33"/>
  <c r="M54" i="33"/>
  <c r="K54" i="33"/>
  <c r="I54" i="33"/>
  <c r="H54" i="33"/>
  <c r="O53" i="33"/>
  <c r="P52" i="33"/>
  <c r="N52" i="33"/>
  <c r="M52" i="33"/>
  <c r="K52" i="33"/>
  <c r="I52" i="33"/>
  <c r="H52" i="33"/>
  <c r="O51" i="33"/>
  <c r="P50" i="33"/>
  <c r="N50" i="33"/>
  <c r="M50" i="33"/>
  <c r="K50" i="33"/>
  <c r="I50" i="33"/>
  <c r="H50" i="33"/>
  <c r="O49" i="33"/>
  <c r="P48" i="33"/>
  <c r="N48" i="33"/>
  <c r="M48" i="33"/>
  <c r="K48" i="33"/>
  <c r="I48" i="33"/>
  <c r="H48" i="33"/>
  <c r="P46" i="33"/>
  <c r="N46" i="33"/>
  <c r="M46" i="33"/>
  <c r="K46" i="33"/>
  <c r="I46" i="33"/>
  <c r="H46" i="33"/>
  <c r="P44" i="33"/>
  <c r="N44" i="33"/>
  <c r="M44" i="33"/>
  <c r="K44" i="33"/>
  <c r="I44" i="33"/>
  <c r="H44" i="33"/>
  <c r="P43" i="33"/>
  <c r="M43" i="33"/>
  <c r="K43" i="33"/>
  <c r="I43" i="33"/>
  <c r="H43" i="33"/>
  <c r="P41" i="33"/>
  <c r="N41" i="33"/>
  <c r="M41" i="33"/>
  <c r="K41" i="33"/>
  <c r="I41" i="33"/>
  <c r="H41" i="33"/>
  <c r="P39" i="33"/>
  <c r="H39" i="33"/>
  <c r="AB38" i="33"/>
  <c r="AA38" i="33"/>
  <c r="P37" i="33"/>
  <c r="N37" i="33"/>
  <c r="M37" i="33"/>
  <c r="K37" i="33"/>
  <c r="I37" i="33"/>
  <c r="H37" i="33"/>
  <c r="P36" i="33"/>
  <c r="M36" i="33"/>
  <c r="K36" i="33"/>
  <c r="I36" i="33"/>
  <c r="H36" i="33"/>
  <c r="AB35" i="33"/>
  <c r="AA35" i="33"/>
  <c r="P34" i="33"/>
  <c r="H34" i="33"/>
  <c r="AB33" i="33"/>
  <c r="AA33" i="33"/>
  <c r="P32" i="33"/>
  <c r="H32" i="33"/>
  <c r="AB31" i="33"/>
  <c r="AA31" i="33"/>
  <c r="P30" i="33"/>
  <c r="N30" i="33"/>
  <c r="M30" i="33"/>
  <c r="K30" i="33"/>
  <c r="I30" i="33"/>
  <c r="H30" i="33"/>
  <c r="P29" i="33"/>
  <c r="M29" i="33"/>
  <c r="K29" i="33"/>
  <c r="I29" i="33"/>
  <c r="H29" i="33"/>
  <c r="P27" i="33"/>
  <c r="M27" i="33"/>
  <c r="K27" i="33"/>
  <c r="I27" i="33"/>
  <c r="H27" i="33"/>
  <c r="P26" i="33"/>
  <c r="M26" i="33"/>
  <c r="K26" i="33"/>
  <c r="I26" i="33"/>
  <c r="H26" i="33"/>
  <c r="P25" i="33"/>
  <c r="M25" i="33"/>
  <c r="K25" i="33"/>
  <c r="I25" i="33"/>
  <c r="AB24" i="33"/>
  <c r="AA24" i="33"/>
  <c r="AB23" i="33"/>
  <c r="AA23" i="33"/>
  <c r="P22" i="33"/>
  <c r="H22" i="33"/>
  <c r="AB21" i="33"/>
  <c r="AA21" i="33"/>
  <c r="AB20" i="33"/>
  <c r="AA20" i="33"/>
  <c r="P19" i="33"/>
  <c r="H19" i="33"/>
  <c r="AB18" i="33"/>
  <c r="AA18" i="33"/>
  <c r="AB17" i="33"/>
  <c r="AA17" i="33"/>
  <c r="P16" i="33"/>
  <c r="H16" i="33"/>
  <c r="AB15" i="33"/>
  <c r="AA15" i="33"/>
  <c r="AB14" i="33"/>
  <c r="AA14" i="33"/>
  <c r="P13" i="33"/>
  <c r="H13" i="33"/>
  <c r="AB12" i="33"/>
  <c r="AA12" i="33"/>
  <c r="AB11" i="33"/>
  <c r="AA11" i="33"/>
  <c r="P10" i="33"/>
  <c r="H10" i="33"/>
  <c r="AB9" i="33"/>
  <c r="AA9" i="33"/>
  <c r="P8" i="33"/>
  <c r="H8" i="33"/>
  <c r="P7" i="33"/>
  <c r="M7" i="33"/>
  <c r="K7" i="33"/>
  <c r="I7" i="33"/>
  <c r="H7" i="33"/>
  <c r="P6" i="33"/>
  <c r="M6" i="33"/>
  <c r="K6" i="33"/>
  <c r="I6" i="33"/>
  <c r="H6" i="33"/>
  <c r="R39" i="33"/>
  <c r="P84" i="32"/>
  <c r="J84" i="32"/>
  <c r="I84" i="32"/>
  <c r="H84" i="32"/>
  <c r="G84" i="32"/>
  <c r="P83" i="32"/>
  <c r="J83" i="32"/>
  <c r="I83" i="32"/>
  <c r="H83" i="32"/>
  <c r="G83" i="32"/>
  <c r="P82" i="32"/>
  <c r="J82" i="32"/>
  <c r="I82" i="32"/>
  <c r="H82" i="32"/>
  <c r="G82" i="32"/>
  <c r="P81" i="32"/>
  <c r="J81" i="32"/>
  <c r="I81" i="32"/>
  <c r="H81" i="32"/>
  <c r="G81" i="32"/>
  <c r="P80" i="32"/>
  <c r="J80" i="32"/>
  <c r="I80" i="32"/>
  <c r="H80" i="32"/>
  <c r="P79" i="32"/>
  <c r="J79" i="32"/>
  <c r="I79" i="32"/>
  <c r="H79" i="32"/>
  <c r="P78" i="32"/>
  <c r="J78" i="32"/>
  <c r="I78" i="32"/>
  <c r="H78" i="32"/>
  <c r="P72" i="32"/>
  <c r="M72" i="32"/>
  <c r="J72" i="32"/>
  <c r="I72" i="32"/>
  <c r="H72" i="32"/>
  <c r="G72" i="32"/>
  <c r="P70" i="32"/>
  <c r="M70" i="32"/>
  <c r="J70" i="32"/>
  <c r="I70" i="32"/>
  <c r="H70" i="32"/>
  <c r="G70" i="32"/>
  <c r="P68" i="32"/>
  <c r="M68" i="32"/>
  <c r="J68" i="32"/>
  <c r="I68" i="32"/>
  <c r="H68" i="32"/>
  <c r="G68" i="32"/>
  <c r="P67" i="32"/>
  <c r="J67" i="32"/>
  <c r="I67" i="32"/>
  <c r="H67" i="32"/>
  <c r="G67" i="32"/>
  <c r="P66" i="32"/>
  <c r="J66" i="32"/>
  <c r="I66" i="32"/>
  <c r="H66" i="32"/>
  <c r="G66" i="32"/>
  <c r="P65" i="32"/>
  <c r="J65" i="32"/>
  <c r="I65" i="32"/>
  <c r="H65" i="32"/>
  <c r="G65" i="32"/>
  <c r="P64" i="32"/>
  <c r="J64" i="32"/>
  <c r="I64" i="32"/>
  <c r="H64" i="32"/>
  <c r="G64" i="32"/>
  <c r="P62" i="32"/>
  <c r="N62" i="32"/>
  <c r="J62" i="32"/>
  <c r="I62" i="32"/>
  <c r="H62" i="32"/>
  <c r="G62" i="32"/>
  <c r="P61" i="32"/>
  <c r="J61" i="32"/>
  <c r="I61" i="32"/>
  <c r="H61" i="32"/>
  <c r="G61" i="32"/>
  <c r="P60" i="32"/>
  <c r="J60" i="32"/>
  <c r="I60" i="32"/>
  <c r="H60" i="32"/>
  <c r="G60" i="32"/>
  <c r="P54" i="32"/>
  <c r="N54" i="32"/>
  <c r="M54" i="32"/>
  <c r="K54" i="32"/>
  <c r="I54" i="32"/>
  <c r="H54" i="32"/>
  <c r="O53" i="32"/>
  <c r="P52" i="32"/>
  <c r="N52" i="32"/>
  <c r="M52" i="32"/>
  <c r="K52" i="32"/>
  <c r="I52" i="32"/>
  <c r="H52" i="32"/>
  <c r="O51" i="32"/>
  <c r="P50" i="32"/>
  <c r="N50" i="32"/>
  <c r="M50" i="32"/>
  <c r="K50" i="32"/>
  <c r="I50" i="32"/>
  <c r="H50" i="32"/>
  <c r="O49" i="32"/>
  <c r="P48" i="32"/>
  <c r="N48" i="32"/>
  <c r="M48" i="32"/>
  <c r="K48" i="32"/>
  <c r="I48" i="32"/>
  <c r="H48" i="32"/>
  <c r="P46" i="32"/>
  <c r="N46" i="32"/>
  <c r="M46" i="32"/>
  <c r="K46" i="32"/>
  <c r="I46" i="32"/>
  <c r="H46" i="32"/>
  <c r="P44" i="32"/>
  <c r="N44" i="32"/>
  <c r="M44" i="32"/>
  <c r="K44" i="32"/>
  <c r="I44" i="32"/>
  <c r="H44" i="32"/>
  <c r="P43" i="32"/>
  <c r="M43" i="32"/>
  <c r="K43" i="32"/>
  <c r="I43" i="32"/>
  <c r="H43" i="32"/>
  <c r="P41" i="32"/>
  <c r="N41" i="32"/>
  <c r="M41" i="32"/>
  <c r="K41" i="32"/>
  <c r="I41" i="32"/>
  <c r="H41" i="32"/>
  <c r="R39" i="32"/>
  <c r="P39" i="32"/>
  <c r="H39" i="32"/>
  <c r="AB38" i="32"/>
  <c r="AA38" i="32"/>
  <c r="P37" i="32"/>
  <c r="N37" i="32"/>
  <c r="M37" i="32"/>
  <c r="K37" i="32"/>
  <c r="I37" i="32"/>
  <c r="H37" i="32"/>
  <c r="P36" i="32"/>
  <c r="M36" i="32"/>
  <c r="K36" i="32"/>
  <c r="I36" i="32"/>
  <c r="H36" i="32"/>
  <c r="AB35" i="32"/>
  <c r="AA35" i="32"/>
  <c r="P34" i="32"/>
  <c r="H34" i="32"/>
  <c r="AB33" i="32"/>
  <c r="AA33" i="32"/>
  <c r="P32" i="32"/>
  <c r="H32" i="32"/>
  <c r="AB31" i="32"/>
  <c r="AA31" i="32"/>
  <c r="P30" i="32"/>
  <c r="N30" i="32"/>
  <c r="M30" i="32"/>
  <c r="K30" i="32"/>
  <c r="I30" i="32"/>
  <c r="H30" i="32"/>
  <c r="P29" i="32"/>
  <c r="M29" i="32"/>
  <c r="K29" i="32"/>
  <c r="I29" i="32"/>
  <c r="H29" i="32"/>
  <c r="P27" i="32"/>
  <c r="N27" i="32"/>
  <c r="M27" i="32"/>
  <c r="K27" i="32"/>
  <c r="I27" i="32"/>
  <c r="H27" i="32"/>
  <c r="P26" i="32"/>
  <c r="M26" i="32"/>
  <c r="K26" i="32"/>
  <c r="I26" i="32"/>
  <c r="H26" i="32"/>
  <c r="P25" i="32"/>
  <c r="M25" i="32"/>
  <c r="K25" i="32"/>
  <c r="I25" i="32"/>
  <c r="AB23" i="32"/>
  <c r="AA23" i="32"/>
  <c r="P22" i="32"/>
  <c r="H22" i="32"/>
  <c r="AB21" i="32"/>
  <c r="AA21" i="32"/>
  <c r="AB20" i="32"/>
  <c r="AA20" i="32"/>
  <c r="P19" i="32"/>
  <c r="H19" i="32"/>
  <c r="AB18" i="32"/>
  <c r="AA18" i="32"/>
  <c r="AB17" i="32"/>
  <c r="AA17" i="32"/>
  <c r="P16" i="32"/>
  <c r="H16" i="32"/>
  <c r="AB15" i="32"/>
  <c r="AA15" i="32"/>
  <c r="AB14" i="32"/>
  <c r="AA14" i="32"/>
  <c r="P13" i="32"/>
  <c r="H13" i="32"/>
  <c r="AB12" i="32"/>
  <c r="AA12" i="32"/>
  <c r="AB11" i="32"/>
  <c r="AA11" i="32"/>
  <c r="P10" i="32"/>
  <c r="H10" i="32"/>
  <c r="AB9" i="32"/>
  <c r="AA9" i="32"/>
  <c r="P8" i="32"/>
  <c r="H8" i="32"/>
  <c r="P7" i="32"/>
  <c r="M7" i="32"/>
  <c r="K7" i="32"/>
  <c r="I7" i="32"/>
  <c r="H7" i="32"/>
  <c r="P6" i="32"/>
  <c r="M6" i="32"/>
  <c r="K6" i="32"/>
  <c r="I6" i="32"/>
  <c r="H6" i="32"/>
  <c r="P84" i="31"/>
  <c r="J84" i="31"/>
  <c r="I84" i="31"/>
  <c r="H84" i="31"/>
  <c r="G84" i="31"/>
  <c r="P83" i="31"/>
  <c r="J83" i="31"/>
  <c r="I83" i="31"/>
  <c r="H83" i="31"/>
  <c r="G83" i="31"/>
  <c r="P82" i="31"/>
  <c r="J82" i="31"/>
  <c r="I82" i="31"/>
  <c r="H82" i="31"/>
  <c r="G82" i="31"/>
  <c r="P81" i="31"/>
  <c r="J81" i="31"/>
  <c r="I81" i="31"/>
  <c r="H81" i="31"/>
  <c r="G81" i="31"/>
  <c r="P80" i="31"/>
  <c r="J80" i="31"/>
  <c r="I80" i="31"/>
  <c r="H80" i="31"/>
  <c r="P79" i="31"/>
  <c r="J79" i="31"/>
  <c r="I79" i="31"/>
  <c r="H79" i="31"/>
  <c r="P78" i="31"/>
  <c r="J78" i="31"/>
  <c r="I78" i="31"/>
  <c r="H78" i="31"/>
  <c r="P72" i="31"/>
  <c r="M72" i="31"/>
  <c r="J72" i="31"/>
  <c r="I72" i="31"/>
  <c r="H72" i="31"/>
  <c r="G72" i="31"/>
  <c r="P70" i="31"/>
  <c r="M70" i="31"/>
  <c r="J70" i="31"/>
  <c r="I70" i="31"/>
  <c r="H70" i="31"/>
  <c r="G70" i="31"/>
  <c r="P68" i="31"/>
  <c r="M68" i="31"/>
  <c r="J68" i="31"/>
  <c r="I68" i="31"/>
  <c r="H68" i="31"/>
  <c r="G68" i="31"/>
  <c r="P67" i="31"/>
  <c r="J67" i="31"/>
  <c r="I67" i="31"/>
  <c r="H67" i="31"/>
  <c r="G67" i="31"/>
  <c r="P66" i="31"/>
  <c r="J66" i="31"/>
  <c r="I66" i="31"/>
  <c r="H66" i="31"/>
  <c r="G66" i="31"/>
  <c r="P65" i="31"/>
  <c r="J65" i="31"/>
  <c r="I65" i="31"/>
  <c r="H65" i="31"/>
  <c r="G65" i="31"/>
  <c r="P64" i="31"/>
  <c r="J64" i="31"/>
  <c r="I64" i="31"/>
  <c r="H64" i="31"/>
  <c r="G64" i="31"/>
  <c r="P62" i="31"/>
  <c r="N62" i="31"/>
  <c r="J62" i="31"/>
  <c r="I62" i="31"/>
  <c r="H62" i="31"/>
  <c r="G62" i="31"/>
  <c r="P61" i="31"/>
  <c r="J61" i="31"/>
  <c r="I61" i="31"/>
  <c r="H61" i="31"/>
  <c r="G61" i="31"/>
  <c r="P60" i="31"/>
  <c r="J60" i="31"/>
  <c r="I60" i="31"/>
  <c r="H60" i="31"/>
  <c r="G60" i="31"/>
  <c r="P54" i="31"/>
  <c r="N54" i="31"/>
  <c r="M54" i="31"/>
  <c r="K54" i="31"/>
  <c r="I54" i="31"/>
  <c r="H54" i="31"/>
  <c r="O53" i="31"/>
  <c r="P52" i="31"/>
  <c r="N52" i="31"/>
  <c r="M52" i="31"/>
  <c r="K52" i="31"/>
  <c r="I52" i="31"/>
  <c r="H52" i="31"/>
  <c r="O51" i="31"/>
  <c r="P50" i="31"/>
  <c r="N50" i="31"/>
  <c r="M50" i="31"/>
  <c r="K50" i="31"/>
  <c r="I50" i="31"/>
  <c r="H50" i="31"/>
  <c r="O49" i="31"/>
  <c r="P48" i="31"/>
  <c r="N48" i="31"/>
  <c r="M48" i="31"/>
  <c r="K48" i="31"/>
  <c r="I48" i="31"/>
  <c r="H48" i="31"/>
  <c r="P46" i="31"/>
  <c r="N46" i="31"/>
  <c r="M46" i="31"/>
  <c r="K46" i="31"/>
  <c r="I46" i="31"/>
  <c r="H46" i="31"/>
  <c r="P44" i="31"/>
  <c r="N44" i="31"/>
  <c r="M44" i="31"/>
  <c r="K44" i="31"/>
  <c r="I44" i="31"/>
  <c r="H44" i="31"/>
  <c r="P43" i="31"/>
  <c r="M43" i="31"/>
  <c r="K43" i="31"/>
  <c r="I43" i="31"/>
  <c r="H43" i="31"/>
  <c r="P41" i="31"/>
  <c r="N41" i="31"/>
  <c r="M41" i="31"/>
  <c r="K41" i="31"/>
  <c r="I41" i="31"/>
  <c r="H41" i="31"/>
  <c r="R39" i="31"/>
  <c r="P39" i="31"/>
  <c r="H39" i="31"/>
  <c r="AB38" i="31"/>
  <c r="AA38" i="31"/>
  <c r="P37" i="31"/>
  <c r="N37" i="31"/>
  <c r="M37" i="31"/>
  <c r="K37" i="31"/>
  <c r="I37" i="31"/>
  <c r="H37" i="31"/>
  <c r="P36" i="31"/>
  <c r="M36" i="31"/>
  <c r="K36" i="31"/>
  <c r="I36" i="31"/>
  <c r="H36" i="31"/>
  <c r="AB35" i="31"/>
  <c r="AA35" i="31"/>
  <c r="P34" i="31"/>
  <c r="H34" i="31"/>
  <c r="AB33" i="31"/>
  <c r="AA33" i="31"/>
  <c r="P32" i="31"/>
  <c r="H32" i="31"/>
  <c r="AB31" i="31"/>
  <c r="AA31" i="31"/>
  <c r="P30" i="31"/>
  <c r="N30" i="31"/>
  <c r="M30" i="31"/>
  <c r="K30" i="31"/>
  <c r="I30" i="31"/>
  <c r="H30" i="31"/>
  <c r="P29" i="31"/>
  <c r="M29" i="31"/>
  <c r="K29" i="31"/>
  <c r="I29" i="31"/>
  <c r="H29" i="31"/>
  <c r="P27" i="31"/>
  <c r="N27" i="31"/>
  <c r="M27" i="31"/>
  <c r="K27" i="31"/>
  <c r="I27" i="31"/>
  <c r="H27" i="31"/>
  <c r="P26" i="31"/>
  <c r="M26" i="31"/>
  <c r="K26" i="31"/>
  <c r="I26" i="31"/>
  <c r="H26" i="31"/>
  <c r="P25" i="31"/>
  <c r="M25" i="31"/>
  <c r="K25" i="31"/>
  <c r="I25" i="31"/>
  <c r="AB23" i="31"/>
  <c r="AA23" i="31"/>
  <c r="P22" i="31"/>
  <c r="H22" i="31"/>
  <c r="AB21" i="31"/>
  <c r="AA21" i="31"/>
  <c r="AB20" i="31"/>
  <c r="AA20" i="31"/>
  <c r="P19" i="31"/>
  <c r="H19" i="31"/>
  <c r="AB18" i="31"/>
  <c r="AA18" i="31"/>
  <c r="AB17" i="31"/>
  <c r="AA17" i="31"/>
  <c r="P16" i="31"/>
  <c r="H16" i="31"/>
  <c r="AB15" i="31"/>
  <c r="AA15" i="31"/>
  <c r="AB14" i="31"/>
  <c r="AA14" i="31"/>
  <c r="P13" i="31"/>
  <c r="H13" i="31"/>
  <c r="AB12" i="31"/>
  <c r="AA12" i="31"/>
  <c r="AB11" i="31"/>
  <c r="AA11" i="31"/>
  <c r="P10" i="31"/>
  <c r="H10" i="31"/>
  <c r="AB9" i="31"/>
  <c r="AA9" i="31"/>
  <c r="P8" i="31"/>
  <c r="H8" i="31"/>
  <c r="P7" i="31"/>
  <c r="M7" i="31"/>
  <c r="K7" i="31"/>
  <c r="I7" i="31"/>
  <c r="H7" i="31"/>
  <c r="P6" i="31"/>
  <c r="M6" i="31"/>
  <c r="K6" i="31"/>
  <c r="I6" i="31"/>
  <c r="H6" i="31"/>
  <c r="F11" i="19"/>
  <c r="F14" i="19" s="1"/>
  <c r="L11" i="19"/>
  <c r="L14" i="19"/>
  <c r="E14" i="19" s="1"/>
  <c r="F12" i="19"/>
  <c r="F15" i="19"/>
  <c r="L12" i="19"/>
  <c r="E12" i="19" s="1"/>
  <c r="L10" i="19"/>
  <c r="L13" i="19"/>
  <c r="E13" i="19" s="1"/>
  <c r="F10" i="19"/>
  <c r="F13" i="19" s="1"/>
  <c r="D15" i="19"/>
  <c r="D14" i="19"/>
  <c r="D13" i="19"/>
  <c r="D12" i="19"/>
  <c r="D11" i="19"/>
  <c r="D10" i="19"/>
  <c r="D9" i="19"/>
  <c r="D8" i="19"/>
  <c r="D7" i="19"/>
  <c r="L91" i="26"/>
  <c r="K91" i="26"/>
  <c r="L70" i="26"/>
  <c r="K70" i="26"/>
  <c r="D99" i="26"/>
  <c r="D98" i="26"/>
  <c r="D97" i="26"/>
  <c r="D96" i="26"/>
  <c r="D95" i="26"/>
  <c r="D94" i="26"/>
  <c r="D93" i="26"/>
  <c r="D92" i="26"/>
  <c r="D83" i="26"/>
  <c r="D81" i="26"/>
  <c r="D79" i="26"/>
  <c r="D78" i="26"/>
  <c r="D77" i="26"/>
  <c r="D76" i="26"/>
  <c r="D75" i="26"/>
  <c r="D73" i="26"/>
  <c r="D72" i="26"/>
  <c r="D71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6" i="26"/>
  <c r="D25" i="26"/>
  <c r="D23" i="26"/>
  <c r="D22" i="26"/>
  <c r="D20" i="26"/>
  <c r="D19" i="26"/>
  <c r="D17" i="26"/>
  <c r="D16" i="26"/>
  <c r="D14" i="26"/>
  <c r="D13" i="26"/>
  <c r="D11" i="26"/>
  <c r="D10" i="26"/>
  <c r="D9" i="26"/>
  <c r="D8" i="26"/>
  <c r="D7" i="26"/>
  <c r="D6" i="26"/>
  <c r="L91" i="24"/>
  <c r="K91" i="24"/>
  <c r="L70" i="24"/>
  <c r="K70" i="24"/>
  <c r="D93" i="24"/>
  <c r="D94" i="24"/>
  <c r="D95" i="24"/>
  <c r="D96" i="24"/>
  <c r="D97" i="24"/>
  <c r="D98" i="24"/>
  <c r="D99" i="24"/>
  <c r="D92" i="24"/>
  <c r="D83" i="24"/>
  <c r="D81" i="24"/>
  <c r="D79" i="24"/>
  <c r="D78" i="24"/>
  <c r="D77" i="24"/>
  <c r="D76" i="24"/>
  <c r="D75" i="24"/>
  <c r="D73" i="24"/>
  <c r="D72" i="24"/>
  <c r="D71" i="24"/>
  <c r="L91" i="16"/>
  <c r="K91" i="16"/>
  <c r="D99" i="16"/>
  <c r="D98" i="16"/>
  <c r="D97" i="16"/>
  <c r="D96" i="16"/>
  <c r="D95" i="16"/>
  <c r="D94" i="16"/>
  <c r="D93" i="16"/>
  <c r="D92" i="16"/>
  <c r="L70" i="16"/>
  <c r="K70" i="16"/>
  <c r="D83" i="16"/>
  <c r="D81" i="16"/>
  <c r="D79" i="16"/>
  <c r="D78" i="16"/>
  <c r="D77" i="16"/>
  <c r="D76" i="16"/>
  <c r="D75" i="16"/>
  <c r="D73" i="16"/>
  <c r="D72" i="16"/>
  <c r="D71" i="16"/>
  <c r="Z5" i="26"/>
  <c r="Y5" i="26"/>
  <c r="X5" i="26"/>
  <c r="S5" i="26"/>
  <c r="R5" i="26"/>
  <c r="N5" i="26"/>
  <c r="Z5" i="24"/>
  <c r="Y5" i="24"/>
  <c r="X5" i="24"/>
  <c r="S5" i="24"/>
  <c r="R5" i="24"/>
  <c r="N5" i="24"/>
  <c r="Z5" i="16"/>
  <c r="Y5" i="16"/>
  <c r="X5" i="16"/>
  <c r="S5" i="16"/>
  <c r="R5" i="16"/>
  <c r="N5" i="16"/>
  <c r="D48" i="24"/>
  <c r="D46" i="24"/>
  <c r="D38" i="24"/>
  <c r="D36" i="24"/>
  <c r="D26" i="24"/>
  <c r="D23" i="24"/>
  <c r="D20" i="24"/>
  <c r="D17" i="24"/>
  <c r="D14" i="24"/>
  <c r="D62" i="24"/>
  <c r="D64" i="24"/>
  <c r="D60" i="24"/>
  <c r="D58" i="24"/>
  <c r="D56" i="24"/>
  <c r="D54" i="24"/>
  <c r="D50" i="24"/>
  <c r="D44" i="24"/>
  <c r="D34" i="24"/>
  <c r="D31" i="24"/>
  <c r="D9" i="24"/>
  <c r="D63" i="24"/>
  <c r="D61" i="24"/>
  <c r="D59" i="24"/>
  <c r="D57" i="24"/>
  <c r="D55" i="24"/>
  <c r="D53" i="24"/>
  <c r="D52" i="24"/>
  <c r="D51" i="24"/>
  <c r="D49" i="24"/>
  <c r="D47" i="24"/>
  <c r="D45" i="24"/>
  <c r="D43" i="24"/>
  <c r="D42" i="24"/>
  <c r="D41" i="24"/>
  <c r="D39" i="24"/>
  <c r="D37" i="24"/>
  <c r="D35" i="24"/>
  <c r="D33" i="24"/>
  <c r="D32" i="24"/>
  <c r="D30" i="24"/>
  <c r="D29" i="24"/>
  <c r="D28" i="24"/>
  <c r="D25" i="24"/>
  <c r="D22" i="24"/>
  <c r="D19" i="24"/>
  <c r="D16" i="24"/>
  <c r="D13" i="24"/>
  <c r="D11" i="24"/>
  <c r="D10" i="24"/>
  <c r="D8" i="24"/>
  <c r="D7" i="24"/>
  <c r="D6" i="24"/>
  <c r="D64" i="16"/>
  <c r="D62" i="16"/>
  <c r="D60" i="16"/>
  <c r="D58" i="16"/>
  <c r="D56" i="16"/>
  <c r="D54" i="16"/>
  <c r="D50" i="16"/>
  <c r="D44" i="16"/>
  <c r="D34" i="16"/>
  <c r="D31" i="16"/>
  <c r="D9" i="16"/>
  <c r="D63" i="16"/>
  <c r="D61" i="16"/>
  <c r="D59" i="16"/>
  <c r="D57" i="16"/>
  <c r="D55" i="16"/>
  <c r="D53" i="16"/>
  <c r="D52" i="16"/>
  <c r="D51" i="16"/>
  <c r="D49" i="16"/>
  <c r="D47" i="16"/>
  <c r="D45" i="16"/>
  <c r="D43" i="16"/>
  <c r="D42" i="16"/>
  <c r="D41" i="16"/>
  <c r="D39" i="16"/>
  <c r="D37" i="16"/>
  <c r="D35" i="16"/>
  <c r="D33" i="16"/>
  <c r="D32" i="16"/>
  <c r="D30" i="16"/>
  <c r="D29" i="16"/>
  <c r="D28" i="16"/>
  <c r="D25" i="16"/>
  <c r="D22" i="16"/>
  <c r="D19" i="16"/>
  <c r="D16" i="16"/>
  <c r="D13" i="16"/>
  <c r="D11" i="16"/>
  <c r="D10" i="16"/>
  <c r="D8" i="16"/>
  <c r="D7" i="16"/>
  <c r="D6" i="16"/>
  <c r="E99" i="26"/>
  <c r="E98" i="26"/>
  <c r="E97" i="26"/>
  <c r="E96" i="26"/>
  <c r="E95" i="26"/>
  <c r="E94" i="26"/>
  <c r="E93" i="26"/>
  <c r="E92" i="26"/>
  <c r="E83" i="26"/>
  <c r="E81" i="26"/>
  <c r="E79" i="26"/>
  <c r="E78" i="26"/>
  <c r="E77" i="26"/>
  <c r="E76" i="26"/>
  <c r="E75" i="26"/>
  <c r="E73" i="26"/>
  <c r="E72" i="26"/>
  <c r="E71" i="26"/>
  <c r="F63" i="26"/>
  <c r="F61" i="26"/>
  <c r="F59" i="26"/>
  <c r="F57" i="26"/>
  <c r="F55" i="26"/>
  <c r="F53" i="26"/>
  <c r="F52" i="26"/>
  <c r="F51" i="26"/>
  <c r="F49" i="26"/>
  <c r="F47" i="26"/>
  <c r="F45" i="26"/>
  <c r="F43" i="26"/>
  <c r="F42" i="26"/>
  <c r="F41" i="26"/>
  <c r="F39" i="26"/>
  <c r="F37" i="26"/>
  <c r="F35" i="26"/>
  <c r="F33" i="26"/>
  <c r="F32" i="26"/>
  <c r="F30" i="26"/>
  <c r="F29" i="26"/>
  <c r="F28" i="26"/>
  <c r="F25" i="26"/>
  <c r="F22" i="26"/>
  <c r="F19" i="26"/>
  <c r="F16" i="26"/>
  <c r="F13" i="26"/>
  <c r="F11" i="26"/>
  <c r="F10" i="26"/>
  <c r="F8" i="26"/>
  <c r="F7" i="26"/>
  <c r="F6" i="26"/>
  <c r="E99" i="24"/>
  <c r="E98" i="24"/>
  <c r="E97" i="24"/>
  <c r="E96" i="24"/>
  <c r="E95" i="24"/>
  <c r="E94" i="24"/>
  <c r="E93" i="24"/>
  <c r="E92" i="24"/>
  <c r="E83" i="24"/>
  <c r="E81" i="24"/>
  <c r="E79" i="24"/>
  <c r="E78" i="24"/>
  <c r="E77" i="24"/>
  <c r="E76" i="24"/>
  <c r="E75" i="24"/>
  <c r="E73" i="24"/>
  <c r="E72" i="24"/>
  <c r="E71" i="24"/>
  <c r="F63" i="24"/>
  <c r="F61" i="24"/>
  <c r="F59" i="24"/>
  <c r="F57" i="24"/>
  <c r="F55" i="24"/>
  <c r="F53" i="24"/>
  <c r="F52" i="24"/>
  <c r="F51" i="24"/>
  <c r="F49" i="24"/>
  <c r="F47" i="24"/>
  <c r="F45" i="24"/>
  <c r="F43" i="24"/>
  <c r="F42" i="24"/>
  <c r="F41" i="24"/>
  <c r="F39" i="24"/>
  <c r="F37" i="24"/>
  <c r="F35" i="24"/>
  <c r="F33" i="24"/>
  <c r="F32" i="24"/>
  <c r="F30" i="24"/>
  <c r="F29" i="24"/>
  <c r="F28" i="24"/>
  <c r="F25" i="24"/>
  <c r="F22" i="24"/>
  <c r="F19" i="24"/>
  <c r="F16" i="24"/>
  <c r="F13" i="24"/>
  <c r="F11" i="24"/>
  <c r="F10" i="24"/>
  <c r="F8" i="24"/>
  <c r="F7" i="24"/>
  <c r="F6" i="24"/>
  <c r="E99" i="16"/>
  <c r="E98" i="16"/>
  <c r="E97" i="16"/>
  <c r="E96" i="16"/>
  <c r="E95" i="16"/>
  <c r="E94" i="16"/>
  <c r="E93" i="16"/>
  <c r="E92" i="16"/>
  <c r="E83" i="16"/>
  <c r="E81" i="16"/>
  <c r="E79" i="16"/>
  <c r="E78" i="16"/>
  <c r="E77" i="16"/>
  <c r="E76" i="16"/>
  <c r="E75" i="16"/>
  <c r="E73" i="16"/>
  <c r="E72" i="16"/>
  <c r="E71" i="16"/>
  <c r="F63" i="16"/>
  <c r="F61" i="16"/>
  <c r="F59" i="16"/>
  <c r="F57" i="16"/>
  <c r="F55" i="16"/>
  <c r="F53" i="16"/>
  <c r="F52" i="16"/>
  <c r="F51" i="16"/>
  <c r="F49" i="16"/>
  <c r="F47" i="16"/>
  <c r="F45" i="16"/>
  <c r="F43" i="16"/>
  <c r="F42" i="16"/>
  <c r="F41" i="16"/>
  <c r="F39" i="16"/>
  <c r="F37" i="16"/>
  <c r="F35" i="16"/>
  <c r="F33" i="16"/>
  <c r="F32" i="16"/>
  <c r="F30" i="16"/>
  <c r="F29" i="16"/>
  <c r="F28" i="16"/>
  <c r="F25" i="16"/>
  <c r="F22" i="16"/>
  <c r="F19" i="16"/>
  <c r="F16" i="16"/>
  <c r="F13" i="16"/>
  <c r="F11" i="16"/>
  <c r="F10" i="16"/>
  <c r="F8" i="16"/>
  <c r="F7" i="16"/>
  <c r="F6" i="16"/>
  <c r="E39" i="19"/>
  <c r="E34" i="19"/>
  <c r="E6" i="19"/>
  <c r="E7" i="19"/>
  <c r="E8" i="19"/>
  <c r="E9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5" i="19"/>
  <c r="H40" i="19"/>
  <c r="H50" i="19" s="1"/>
  <c r="H60" i="19" s="1"/>
  <c r="H70" i="19" s="1"/>
  <c r="H80" i="19" s="1"/>
  <c r="H90" i="19" s="1"/>
  <c r="J40" i="19"/>
  <c r="J50" i="19"/>
  <c r="J60" i="19"/>
  <c r="J70" i="19" s="1"/>
  <c r="J80" i="19" s="1"/>
  <c r="J90" i="19" s="1"/>
  <c r="H41" i="19"/>
  <c r="H51" i="19" s="1"/>
  <c r="H61" i="19" s="1"/>
  <c r="H71" i="19" s="1"/>
  <c r="H81" i="19" s="1"/>
  <c r="H91" i="19" s="1"/>
  <c r="J41" i="19"/>
  <c r="J51" i="19" s="1"/>
  <c r="J61" i="19" s="1"/>
  <c r="J71" i="19" s="1"/>
  <c r="J81" i="19" s="1"/>
  <c r="J91" i="19" s="1"/>
  <c r="H42" i="19"/>
  <c r="H52" i="19" s="1"/>
  <c r="H62" i="19" s="1"/>
  <c r="H72" i="19"/>
  <c r="H82" i="19" s="1"/>
  <c r="H92" i="19" s="1"/>
  <c r="J42" i="19"/>
  <c r="J52" i="19" s="1"/>
  <c r="J62" i="19" s="1"/>
  <c r="J72" i="19" s="1"/>
  <c r="J82" i="19" s="1"/>
  <c r="J92" i="19" s="1"/>
  <c r="H43" i="19"/>
  <c r="H53" i="19" s="1"/>
  <c r="H63" i="19" s="1"/>
  <c r="H73" i="19" s="1"/>
  <c r="H83" i="19" s="1"/>
  <c r="H93" i="19" s="1"/>
  <c r="J43" i="19"/>
  <c r="J53" i="19"/>
  <c r="J63" i="19"/>
  <c r="J73" i="19" s="1"/>
  <c r="J83" i="19" s="1"/>
  <c r="J93" i="19" s="1"/>
  <c r="J39" i="19"/>
  <c r="J49" i="19" s="1"/>
  <c r="J59" i="19" s="1"/>
  <c r="J69" i="19" s="1"/>
  <c r="J79" i="19" s="1"/>
  <c r="J89" i="19" s="1"/>
  <c r="L39" i="19"/>
  <c r="L49" i="19" s="1"/>
  <c r="L59" i="19" s="1"/>
  <c r="L69" i="19" s="1"/>
  <c r="L79" i="19" s="1"/>
  <c r="L89" i="19" s="1"/>
  <c r="H39" i="19"/>
  <c r="H49" i="19"/>
  <c r="H59" i="19" s="1"/>
  <c r="H69" i="19" s="1"/>
  <c r="H79" i="19" s="1"/>
  <c r="H89" i="19" s="1"/>
  <c r="H35" i="19"/>
  <c r="H45" i="19" s="1"/>
  <c r="J35" i="19"/>
  <c r="J45" i="19"/>
  <c r="J55" i="19" s="1"/>
  <c r="J65" i="19" s="1"/>
  <c r="J75" i="19" s="1"/>
  <c r="J85" i="19" s="1"/>
  <c r="H36" i="19"/>
  <c r="H46" i="19" s="1"/>
  <c r="H56" i="19" s="1"/>
  <c r="H66" i="19"/>
  <c r="H76" i="19" s="1"/>
  <c r="H86" i="19" s="1"/>
  <c r="J36" i="19"/>
  <c r="J46" i="19"/>
  <c r="J56" i="19"/>
  <c r="J66" i="19" s="1"/>
  <c r="J76" i="19" s="1"/>
  <c r="J86" i="19" s="1"/>
  <c r="H37" i="19"/>
  <c r="H47" i="19" s="1"/>
  <c r="H57" i="19" s="1"/>
  <c r="H67" i="19" s="1"/>
  <c r="H77" i="19" s="1"/>
  <c r="H87" i="19" s="1"/>
  <c r="J37" i="19"/>
  <c r="J47" i="19"/>
  <c r="J57" i="19" s="1"/>
  <c r="J67" i="19" s="1"/>
  <c r="J77" i="19" s="1"/>
  <c r="J87" i="19" s="1"/>
  <c r="H38" i="19"/>
  <c r="J38" i="19"/>
  <c r="J48" i="19"/>
  <c r="J58" i="19"/>
  <c r="J68" i="19" s="1"/>
  <c r="J78" i="19" s="1"/>
  <c r="J88" i="19" s="1"/>
  <c r="J34" i="19"/>
  <c r="J44" i="19" s="1"/>
  <c r="J54" i="19" s="1"/>
  <c r="J64" i="19" s="1"/>
  <c r="J74" i="19" s="1"/>
  <c r="J84" i="19" s="1"/>
  <c r="L34" i="19"/>
  <c r="L44" i="19"/>
  <c r="L54" i="19" s="1"/>
  <c r="L64" i="19" s="1"/>
  <c r="L74" i="19" s="1"/>
  <c r="L84" i="19" s="1"/>
  <c r="H34" i="19"/>
  <c r="H44" i="19" s="1"/>
  <c r="H54" i="19" s="1"/>
  <c r="H64" i="19" s="1"/>
  <c r="H74" i="19" s="1"/>
  <c r="H84" i="19" s="1"/>
  <c r="G183" i="7"/>
  <c r="K39" i="19" s="1"/>
  <c r="K49" i="19" s="1"/>
  <c r="K59" i="19" s="1"/>
  <c r="K69" i="19" s="1"/>
  <c r="K79" i="19" s="1"/>
  <c r="K89" i="19" s="1"/>
  <c r="G180" i="7"/>
  <c r="K38" i="19"/>
  <c r="G187" i="7"/>
  <c r="K43" i="19" s="1"/>
  <c r="K53" i="19" s="1"/>
  <c r="K63" i="19" s="1"/>
  <c r="K73" i="19" s="1"/>
  <c r="K83" i="19" s="1"/>
  <c r="K93" i="19" s="1"/>
  <c r="G179" i="7"/>
  <c r="K37" i="19"/>
  <c r="K47" i="19" s="1"/>
  <c r="K57" i="19" s="1"/>
  <c r="K67" i="19" s="1"/>
  <c r="K77" i="19" s="1"/>
  <c r="K87" i="19" s="1"/>
  <c r="G186" i="7"/>
  <c r="K42" i="19"/>
  <c r="K52" i="19"/>
  <c r="K62" i="19" s="1"/>
  <c r="K72" i="19" s="1"/>
  <c r="K82" i="19" s="1"/>
  <c r="K92" i="19" s="1"/>
  <c r="G178" i="7"/>
  <c r="K36" i="19" s="1"/>
  <c r="K46" i="19" s="1"/>
  <c r="K56" i="19" s="1"/>
  <c r="K66" i="19" s="1"/>
  <c r="K76" i="19" s="1"/>
  <c r="K86" i="19" s="1"/>
  <c r="G185" i="7"/>
  <c r="K41" i="19"/>
  <c r="K51" i="19" s="1"/>
  <c r="K61" i="19" s="1"/>
  <c r="K71" i="19" s="1"/>
  <c r="K81" i="19" s="1"/>
  <c r="K91" i="19" s="1"/>
  <c r="G177" i="7"/>
  <c r="K35" i="19"/>
  <c r="G184" i="7"/>
  <c r="K40" i="19" s="1"/>
  <c r="K50" i="19" s="1"/>
  <c r="K60" i="19" s="1"/>
  <c r="K70" i="19" s="1"/>
  <c r="K80" i="19" s="1"/>
  <c r="K90" i="19" s="1"/>
  <c r="G176" i="7"/>
  <c r="K34" i="19"/>
  <c r="K44" i="19"/>
  <c r="K54" i="19"/>
  <c r="K64" i="19" s="1"/>
  <c r="K74" i="19" s="1"/>
  <c r="K84" i="19" s="1"/>
  <c r="E180" i="7"/>
  <c r="I38" i="19" s="1"/>
  <c r="I48" i="19" s="1"/>
  <c r="I58" i="19" s="1"/>
  <c r="I68" i="19" s="1"/>
  <c r="I78" i="19" s="1"/>
  <c r="I88" i="19" s="1"/>
  <c r="E187" i="7"/>
  <c r="I43" i="19"/>
  <c r="I53" i="19" s="1"/>
  <c r="I63" i="19" s="1"/>
  <c r="I73" i="19" s="1"/>
  <c r="I83" i="19" s="1"/>
  <c r="I93" i="19" s="1"/>
  <c r="E179" i="7"/>
  <c r="I37" i="19" s="1"/>
  <c r="I47" i="19" s="1"/>
  <c r="I57" i="19" s="1"/>
  <c r="I67" i="19" s="1"/>
  <c r="I77" i="19" s="1"/>
  <c r="I87" i="19" s="1"/>
  <c r="E186" i="7"/>
  <c r="I42" i="19" s="1"/>
  <c r="I52" i="19" s="1"/>
  <c r="I62" i="19" s="1"/>
  <c r="I72" i="19"/>
  <c r="I82" i="19" s="1"/>
  <c r="I92" i="19" s="1"/>
  <c r="E178" i="7"/>
  <c r="I36" i="19"/>
  <c r="I46" i="19" s="1"/>
  <c r="I56" i="19" s="1"/>
  <c r="I66" i="19" s="1"/>
  <c r="I76" i="19" s="1"/>
  <c r="I86" i="19" s="1"/>
  <c r="E185" i="7"/>
  <c r="I41" i="19" s="1"/>
  <c r="I51" i="19" s="1"/>
  <c r="I61" i="19" s="1"/>
  <c r="I71" i="19" s="1"/>
  <c r="I81" i="19" s="1"/>
  <c r="I91" i="19" s="1"/>
  <c r="E177" i="7"/>
  <c r="I35" i="19" s="1"/>
  <c r="I45" i="19" s="1"/>
  <c r="I55" i="19" s="1"/>
  <c r="I65" i="19" s="1"/>
  <c r="I75" i="19" s="1"/>
  <c r="I85" i="19" s="1"/>
  <c r="E184" i="7"/>
  <c r="I40" i="19" s="1"/>
  <c r="E176" i="7"/>
  <c r="I34" i="19" s="1"/>
  <c r="I44" i="19" s="1"/>
  <c r="I54" i="19" s="1"/>
  <c r="I64" i="19" s="1"/>
  <c r="I74" i="19" s="1"/>
  <c r="I84" i="19" s="1"/>
  <c r="E183" i="7"/>
  <c r="I39" i="19" s="1"/>
  <c r="I49" i="19" s="1"/>
  <c r="I59" i="19" s="1"/>
  <c r="I69" i="19" s="1"/>
  <c r="I79" i="19" s="1"/>
  <c r="I89" i="19" s="1"/>
  <c r="U9" i="8"/>
  <c r="V9" i="8"/>
  <c r="U11" i="8"/>
  <c r="V11" i="8"/>
  <c r="U12" i="8"/>
  <c r="V12" i="8"/>
  <c r="U14" i="8"/>
  <c r="V14" i="8"/>
  <c r="U15" i="8"/>
  <c r="V15" i="8"/>
  <c r="U17" i="8"/>
  <c r="V17" i="8"/>
  <c r="U18" i="8"/>
  <c r="V18" i="8"/>
  <c r="U20" i="8"/>
  <c r="V20" i="8"/>
  <c r="U21" i="8"/>
  <c r="V21" i="8"/>
  <c r="U23" i="8"/>
  <c r="V23" i="8"/>
  <c r="U31" i="8"/>
  <c r="V31" i="8"/>
  <c r="U33" i="8"/>
  <c r="V33" i="8"/>
  <c r="U35" i="8"/>
  <c r="V35" i="8"/>
  <c r="U38" i="8"/>
  <c r="V38" i="8"/>
  <c r="AB46" i="26"/>
  <c r="AA46" i="26"/>
  <c r="AB44" i="26"/>
  <c r="AA44" i="26"/>
  <c r="AB38" i="26"/>
  <c r="AA38" i="26"/>
  <c r="AB36" i="26"/>
  <c r="AA36" i="26"/>
  <c r="AB34" i="26"/>
  <c r="AA34" i="26"/>
  <c r="AB27" i="26"/>
  <c r="AA27" i="26"/>
  <c r="AB26" i="26"/>
  <c r="AA26" i="26"/>
  <c r="AB24" i="26"/>
  <c r="AA24" i="26"/>
  <c r="AB23" i="26"/>
  <c r="AA23" i="26"/>
  <c r="AB21" i="26"/>
  <c r="AA21" i="26"/>
  <c r="AB20" i="26"/>
  <c r="AA20" i="26"/>
  <c r="AB18" i="26"/>
  <c r="AA18" i="26"/>
  <c r="AB17" i="26"/>
  <c r="AA17" i="26"/>
  <c r="AB15" i="26"/>
  <c r="AA15" i="26"/>
  <c r="AB14" i="26"/>
  <c r="AA14" i="26"/>
  <c r="AB12" i="26"/>
  <c r="AA12" i="26"/>
  <c r="AB46" i="24"/>
  <c r="AA46" i="24"/>
  <c r="AB44" i="24"/>
  <c r="AA44" i="24"/>
  <c r="AB38" i="24"/>
  <c r="AA38" i="24"/>
  <c r="AB36" i="24"/>
  <c r="AA36" i="24"/>
  <c r="AB34" i="24"/>
  <c r="AA34" i="24"/>
  <c r="AB27" i="24"/>
  <c r="AA27" i="24"/>
  <c r="AB26" i="24"/>
  <c r="AA26" i="24"/>
  <c r="AB24" i="24"/>
  <c r="AA24" i="24"/>
  <c r="AB23" i="24"/>
  <c r="AA23" i="24"/>
  <c r="AB21" i="24"/>
  <c r="AA21" i="24"/>
  <c r="AB20" i="24"/>
  <c r="AA20" i="24"/>
  <c r="AB18" i="24"/>
  <c r="AA18" i="24"/>
  <c r="AB17" i="24"/>
  <c r="AA17" i="24"/>
  <c r="AB15" i="24"/>
  <c r="AA15" i="24"/>
  <c r="AB14" i="24"/>
  <c r="AA14" i="24"/>
  <c r="AB12" i="24"/>
  <c r="AA12" i="24"/>
  <c r="AA26" i="16"/>
  <c r="AB26" i="16"/>
  <c r="AA27" i="16"/>
  <c r="AB27" i="16"/>
  <c r="AA34" i="16"/>
  <c r="AB34" i="16"/>
  <c r="AA36" i="16"/>
  <c r="AB36" i="16"/>
  <c r="AA38" i="16"/>
  <c r="AB38" i="16"/>
  <c r="AA44" i="16"/>
  <c r="AB44" i="16"/>
  <c r="AA46" i="16"/>
  <c r="AB46" i="16"/>
  <c r="AA12" i="16"/>
  <c r="AB12" i="16"/>
  <c r="AA14" i="16"/>
  <c r="AB14" i="16"/>
  <c r="AA15" i="16"/>
  <c r="AB15" i="16"/>
  <c r="AA17" i="16"/>
  <c r="AB17" i="16"/>
  <c r="AA18" i="16"/>
  <c r="AB18" i="16"/>
  <c r="AA20" i="16"/>
  <c r="AB20" i="16"/>
  <c r="AA21" i="16"/>
  <c r="AB21" i="16"/>
  <c r="AA23" i="16"/>
  <c r="AB23" i="16"/>
  <c r="AA24" i="16"/>
  <c r="AB24" i="16"/>
  <c r="M63" i="26"/>
  <c r="M61" i="26"/>
  <c r="M59" i="26"/>
  <c r="M57" i="26"/>
  <c r="M55" i="26"/>
  <c r="M53" i="26"/>
  <c r="M52" i="26"/>
  <c r="M51" i="26"/>
  <c r="M49" i="26"/>
  <c r="M43" i="26"/>
  <c r="M42" i="26"/>
  <c r="M41" i="26"/>
  <c r="M39" i="26"/>
  <c r="M33" i="26"/>
  <c r="M32" i="26"/>
  <c r="M30" i="26"/>
  <c r="M29" i="26"/>
  <c r="M28" i="26"/>
  <c r="M10" i="26"/>
  <c r="M8" i="26"/>
  <c r="M7" i="26"/>
  <c r="M6" i="26"/>
  <c r="M63" i="24"/>
  <c r="M61" i="24"/>
  <c r="M59" i="24"/>
  <c r="M57" i="24"/>
  <c r="M55" i="24"/>
  <c r="M53" i="24"/>
  <c r="M52" i="24"/>
  <c r="M51" i="24"/>
  <c r="M49" i="24"/>
  <c r="M43" i="24"/>
  <c r="M42" i="24"/>
  <c r="M41" i="24"/>
  <c r="M39" i="24"/>
  <c r="M33" i="24"/>
  <c r="M32" i="24"/>
  <c r="M30" i="24"/>
  <c r="M29" i="24"/>
  <c r="M28" i="24"/>
  <c r="M10" i="24"/>
  <c r="M8" i="24"/>
  <c r="M7" i="24"/>
  <c r="M6" i="24"/>
  <c r="T19" i="26"/>
  <c r="U19" i="26" s="1"/>
  <c r="T19" i="24"/>
  <c r="U19" i="24" s="1"/>
  <c r="T19" i="16"/>
  <c r="U19" i="16" s="1"/>
  <c r="O35" i="7"/>
  <c r="O37" i="7" s="1"/>
  <c r="T11" i="26"/>
  <c r="V11" i="26" s="1"/>
  <c r="W11" i="26" s="1"/>
  <c r="O40" i="7"/>
  <c r="S25" i="26" s="1"/>
  <c r="R47" i="26"/>
  <c r="R45" i="26"/>
  <c r="R47" i="24"/>
  <c r="R45" i="24"/>
  <c r="F40" i="7"/>
  <c r="D40" i="7" s="1"/>
  <c r="E40" i="7"/>
  <c r="K25" i="24" s="1"/>
  <c r="AB25" i="24" s="1"/>
  <c r="F39" i="7"/>
  <c r="L22" i="16" s="1"/>
  <c r="F38" i="7"/>
  <c r="L19" i="16" s="1"/>
  <c r="E39" i="7"/>
  <c r="K22" i="16" s="1"/>
  <c r="AB22" i="16" s="1"/>
  <c r="E38" i="7"/>
  <c r="R47" i="16"/>
  <c r="R45" i="16"/>
  <c r="P63" i="26"/>
  <c r="N63" i="26"/>
  <c r="P61" i="26"/>
  <c r="O61" i="26"/>
  <c r="N61" i="26"/>
  <c r="P59" i="26"/>
  <c r="O59" i="26"/>
  <c r="N59" i="26"/>
  <c r="P57" i="26"/>
  <c r="O57" i="26"/>
  <c r="N57" i="26"/>
  <c r="P55" i="26"/>
  <c r="N55" i="26"/>
  <c r="P53" i="26"/>
  <c r="N53" i="26"/>
  <c r="P52" i="26"/>
  <c r="P51" i="26"/>
  <c r="P49" i="26"/>
  <c r="N49" i="26"/>
  <c r="P47" i="26"/>
  <c r="P45" i="26"/>
  <c r="P43" i="26"/>
  <c r="N43" i="26"/>
  <c r="P42" i="26"/>
  <c r="P41" i="26"/>
  <c r="P39" i="26"/>
  <c r="P37" i="26"/>
  <c r="P35" i="26"/>
  <c r="P33" i="26"/>
  <c r="N33" i="26"/>
  <c r="P32" i="26"/>
  <c r="P30" i="26"/>
  <c r="N30" i="26"/>
  <c r="P29" i="26"/>
  <c r="P28" i="26"/>
  <c r="P25" i="26"/>
  <c r="P22" i="26"/>
  <c r="P19" i="26"/>
  <c r="P16" i="26"/>
  <c r="P13" i="26"/>
  <c r="P11" i="26"/>
  <c r="P10" i="26"/>
  <c r="P8" i="26"/>
  <c r="N8" i="26"/>
  <c r="P7" i="26"/>
  <c r="P6" i="26"/>
  <c r="P63" i="24"/>
  <c r="N63" i="24"/>
  <c r="P61" i="24"/>
  <c r="O61" i="24"/>
  <c r="N61" i="24"/>
  <c r="P59" i="24"/>
  <c r="O59" i="24"/>
  <c r="N59" i="24"/>
  <c r="P57" i="24"/>
  <c r="O57" i="24"/>
  <c r="N57" i="24"/>
  <c r="P55" i="24"/>
  <c r="N55" i="24"/>
  <c r="P53" i="24"/>
  <c r="N53" i="24"/>
  <c r="P52" i="24"/>
  <c r="P51" i="24"/>
  <c r="P49" i="24"/>
  <c r="N49" i="24"/>
  <c r="P47" i="24"/>
  <c r="P45" i="24"/>
  <c r="P43" i="24"/>
  <c r="N43" i="24"/>
  <c r="P42" i="24"/>
  <c r="P41" i="24"/>
  <c r="P39" i="24"/>
  <c r="P37" i="24"/>
  <c r="P35" i="24"/>
  <c r="P33" i="24"/>
  <c r="N33" i="24"/>
  <c r="P32" i="24"/>
  <c r="P30" i="24"/>
  <c r="N30" i="24"/>
  <c r="P29" i="24"/>
  <c r="P28" i="24"/>
  <c r="P25" i="24"/>
  <c r="P22" i="24"/>
  <c r="P19" i="24"/>
  <c r="P16" i="24"/>
  <c r="P13" i="24"/>
  <c r="P11" i="24"/>
  <c r="P10" i="24"/>
  <c r="P8" i="24"/>
  <c r="N8" i="24"/>
  <c r="P7" i="24"/>
  <c r="P6" i="24"/>
  <c r="H47" i="26"/>
  <c r="H45" i="26"/>
  <c r="K43" i="26"/>
  <c r="I43" i="26"/>
  <c r="H43" i="26"/>
  <c r="K42" i="26"/>
  <c r="I42" i="26"/>
  <c r="H42" i="26"/>
  <c r="K41" i="26"/>
  <c r="I41" i="26"/>
  <c r="K39" i="26"/>
  <c r="I39" i="26"/>
  <c r="H39" i="26"/>
  <c r="H37" i="26"/>
  <c r="K35" i="26"/>
  <c r="AB35" i="26"/>
  <c r="AA35" i="26"/>
  <c r="H35" i="26"/>
  <c r="E122" i="7"/>
  <c r="K32" i="30" s="1"/>
  <c r="AB32" i="30" s="1"/>
  <c r="C46" i="7"/>
  <c r="I35" i="26" s="1"/>
  <c r="O47" i="7"/>
  <c r="S37" i="26" s="1"/>
  <c r="S47" i="26" s="1"/>
  <c r="E52" i="7"/>
  <c r="K45" i="16" s="1"/>
  <c r="AB45" i="16" s="1"/>
  <c r="J100" i="26"/>
  <c r="I100" i="26"/>
  <c r="P99" i="26"/>
  <c r="M99" i="26"/>
  <c r="J99" i="26"/>
  <c r="I99" i="26"/>
  <c r="H99" i="26"/>
  <c r="G99" i="26"/>
  <c r="P98" i="26"/>
  <c r="J98" i="26"/>
  <c r="I98" i="26"/>
  <c r="H98" i="26"/>
  <c r="G98" i="26"/>
  <c r="P97" i="26"/>
  <c r="J97" i="26"/>
  <c r="I97" i="26"/>
  <c r="H97" i="26"/>
  <c r="G97" i="26"/>
  <c r="P96" i="26"/>
  <c r="J96" i="26"/>
  <c r="I96" i="26"/>
  <c r="H96" i="26"/>
  <c r="G96" i="26"/>
  <c r="P95" i="26"/>
  <c r="J95" i="26"/>
  <c r="I95" i="26"/>
  <c r="H95" i="26"/>
  <c r="G95" i="26"/>
  <c r="P94" i="26"/>
  <c r="J94" i="26"/>
  <c r="I94" i="26"/>
  <c r="H94" i="26"/>
  <c r="P93" i="26"/>
  <c r="J93" i="26"/>
  <c r="I93" i="26"/>
  <c r="H93" i="26"/>
  <c r="P92" i="26"/>
  <c r="J92" i="26"/>
  <c r="I92" i="26"/>
  <c r="H92" i="26"/>
  <c r="I84" i="26"/>
  <c r="P83" i="26"/>
  <c r="M83" i="26"/>
  <c r="J83" i="26"/>
  <c r="I83" i="26"/>
  <c r="H83" i="26"/>
  <c r="G83" i="26"/>
  <c r="I82" i="26"/>
  <c r="P81" i="26"/>
  <c r="M81" i="26"/>
  <c r="J81" i="26"/>
  <c r="I81" i="26"/>
  <c r="H81" i="26"/>
  <c r="G81" i="26"/>
  <c r="I80" i="26"/>
  <c r="P79" i="26"/>
  <c r="M79" i="26"/>
  <c r="J79" i="26"/>
  <c r="I79" i="26"/>
  <c r="H79" i="26"/>
  <c r="G79" i="26"/>
  <c r="P78" i="26"/>
  <c r="J78" i="26"/>
  <c r="I78" i="26"/>
  <c r="H78" i="26"/>
  <c r="G78" i="26"/>
  <c r="P77" i="26"/>
  <c r="J77" i="26"/>
  <c r="I77" i="26"/>
  <c r="H77" i="26"/>
  <c r="G77" i="26"/>
  <c r="P76" i="26"/>
  <c r="J76" i="26"/>
  <c r="I76" i="26"/>
  <c r="H76" i="26"/>
  <c r="G76" i="26"/>
  <c r="P75" i="26"/>
  <c r="J75" i="26"/>
  <c r="I75" i="26"/>
  <c r="H75" i="26"/>
  <c r="G75" i="26"/>
  <c r="P73" i="26"/>
  <c r="N73" i="26"/>
  <c r="J73" i="26"/>
  <c r="I73" i="26"/>
  <c r="H73" i="26"/>
  <c r="G73" i="26"/>
  <c r="P72" i="26"/>
  <c r="J72" i="26"/>
  <c r="I72" i="26"/>
  <c r="H72" i="26"/>
  <c r="G72" i="26"/>
  <c r="P71" i="26"/>
  <c r="J71" i="26"/>
  <c r="I71" i="26"/>
  <c r="H71" i="26"/>
  <c r="G71" i="26"/>
  <c r="K63" i="26"/>
  <c r="I63" i="26"/>
  <c r="H63" i="26"/>
  <c r="K61" i="26"/>
  <c r="I61" i="26"/>
  <c r="H61" i="26"/>
  <c r="K59" i="26"/>
  <c r="I59" i="26"/>
  <c r="H59" i="26"/>
  <c r="K57" i="26"/>
  <c r="I57" i="26"/>
  <c r="H57" i="26"/>
  <c r="K55" i="26"/>
  <c r="I55" i="26"/>
  <c r="H55" i="26"/>
  <c r="K53" i="26"/>
  <c r="I53" i="26"/>
  <c r="H53" i="26"/>
  <c r="K52" i="26"/>
  <c r="I52" i="26"/>
  <c r="H52" i="26"/>
  <c r="K51" i="26"/>
  <c r="I51" i="26"/>
  <c r="K49" i="26"/>
  <c r="I49" i="26"/>
  <c r="H49" i="26"/>
  <c r="K33" i="26"/>
  <c r="I33" i="26"/>
  <c r="H33" i="26"/>
  <c r="K32" i="26"/>
  <c r="I32" i="26"/>
  <c r="H32" i="26"/>
  <c r="K30" i="26"/>
  <c r="I30" i="26"/>
  <c r="H30" i="26"/>
  <c r="K29" i="26"/>
  <c r="I29" i="26"/>
  <c r="H29" i="26"/>
  <c r="K28" i="26"/>
  <c r="I28" i="26"/>
  <c r="H25" i="26"/>
  <c r="H22" i="26"/>
  <c r="H19" i="26"/>
  <c r="H16" i="26"/>
  <c r="H13" i="26"/>
  <c r="H11" i="26"/>
  <c r="K10" i="26"/>
  <c r="I10" i="26"/>
  <c r="H10" i="26"/>
  <c r="K8" i="26"/>
  <c r="I8" i="26"/>
  <c r="H8" i="26"/>
  <c r="K7" i="26"/>
  <c r="I7" i="26"/>
  <c r="K6" i="26"/>
  <c r="I6" i="26"/>
  <c r="J100" i="24"/>
  <c r="I100" i="24"/>
  <c r="P99" i="24"/>
  <c r="M99" i="24"/>
  <c r="J99" i="24"/>
  <c r="I99" i="24"/>
  <c r="H99" i="24"/>
  <c r="G99" i="24"/>
  <c r="P98" i="24"/>
  <c r="J98" i="24"/>
  <c r="I98" i="24"/>
  <c r="H98" i="24"/>
  <c r="G98" i="24"/>
  <c r="P97" i="24"/>
  <c r="J97" i="24"/>
  <c r="I97" i="24"/>
  <c r="H97" i="24"/>
  <c r="G97" i="24"/>
  <c r="P96" i="24"/>
  <c r="J96" i="24"/>
  <c r="I96" i="24"/>
  <c r="H96" i="24"/>
  <c r="G96" i="24"/>
  <c r="P95" i="24"/>
  <c r="J95" i="24"/>
  <c r="I95" i="24"/>
  <c r="H95" i="24"/>
  <c r="G95" i="24"/>
  <c r="P94" i="24"/>
  <c r="J94" i="24"/>
  <c r="I94" i="24"/>
  <c r="H94" i="24"/>
  <c r="P93" i="24"/>
  <c r="J93" i="24"/>
  <c r="I93" i="24"/>
  <c r="H93" i="24"/>
  <c r="P92" i="24"/>
  <c r="J92" i="24"/>
  <c r="I92" i="24"/>
  <c r="H92" i="24"/>
  <c r="I84" i="24"/>
  <c r="P83" i="24"/>
  <c r="M83" i="24"/>
  <c r="J83" i="24"/>
  <c r="I83" i="24"/>
  <c r="H83" i="24"/>
  <c r="G83" i="24"/>
  <c r="I82" i="24"/>
  <c r="P81" i="24"/>
  <c r="M81" i="24"/>
  <c r="J81" i="24"/>
  <c r="I81" i="24"/>
  <c r="H81" i="24"/>
  <c r="G81" i="24"/>
  <c r="I80" i="24"/>
  <c r="P79" i="24"/>
  <c r="M79" i="24"/>
  <c r="J79" i="24"/>
  <c r="I79" i="24"/>
  <c r="H79" i="24"/>
  <c r="G79" i="24"/>
  <c r="P78" i="24"/>
  <c r="J78" i="24"/>
  <c r="I78" i="24"/>
  <c r="H78" i="24"/>
  <c r="G78" i="24"/>
  <c r="P77" i="24"/>
  <c r="J77" i="24"/>
  <c r="I77" i="24"/>
  <c r="H77" i="24"/>
  <c r="G77" i="24"/>
  <c r="P76" i="24"/>
  <c r="J76" i="24"/>
  <c r="I76" i="24"/>
  <c r="H76" i="24"/>
  <c r="G76" i="24"/>
  <c r="P75" i="24"/>
  <c r="J75" i="24"/>
  <c r="I75" i="24"/>
  <c r="H75" i="24"/>
  <c r="G75" i="24"/>
  <c r="P73" i="24"/>
  <c r="N73" i="24"/>
  <c r="J73" i="24"/>
  <c r="I73" i="24"/>
  <c r="H73" i="24"/>
  <c r="G73" i="24"/>
  <c r="P72" i="24"/>
  <c r="J72" i="24"/>
  <c r="I72" i="24"/>
  <c r="H72" i="24"/>
  <c r="G72" i="24"/>
  <c r="P71" i="24"/>
  <c r="J71" i="24"/>
  <c r="I71" i="24"/>
  <c r="H71" i="24"/>
  <c r="G71" i="24"/>
  <c r="K63" i="24"/>
  <c r="I63" i="24"/>
  <c r="H63" i="24"/>
  <c r="K61" i="24"/>
  <c r="I61" i="24"/>
  <c r="H61" i="24"/>
  <c r="K59" i="24"/>
  <c r="I59" i="24"/>
  <c r="H59" i="24"/>
  <c r="K57" i="24"/>
  <c r="I57" i="24"/>
  <c r="H57" i="24"/>
  <c r="K55" i="24"/>
  <c r="I55" i="24"/>
  <c r="H55" i="24"/>
  <c r="K53" i="24"/>
  <c r="I53" i="24"/>
  <c r="H53" i="24"/>
  <c r="K52" i="24"/>
  <c r="I52" i="24"/>
  <c r="H52" i="24"/>
  <c r="K51" i="24"/>
  <c r="I51" i="24"/>
  <c r="K49" i="24"/>
  <c r="I49" i="24"/>
  <c r="H49" i="24"/>
  <c r="H47" i="24"/>
  <c r="K45" i="24"/>
  <c r="AB45" i="24" s="1"/>
  <c r="H45" i="24"/>
  <c r="K43" i="24"/>
  <c r="I43" i="24"/>
  <c r="H43" i="24"/>
  <c r="K42" i="24"/>
  <c r="I42" i="24"/>
  <c r="H42" i="24"/>
  <c r="K41" i="24"/>
  <c r="I41" i="24"/>
  <c r="K39" i="24"/>
  <c r="I39" i="24"/>
  <c r="H39" i="24"/>
  <c r="H37" i="24"/>
  <c r="K35" i="24"/>
  <c r="AB35" i="24"/>
  <c r="H35" i="24"/>
  <c r="K33" i="24"/>
  <c r="I33" i="24"/>
  <c r="H33" i="24"/>
  <c r="K32" i="24"/>
  <c r="I32" i="24"/>
  <c r="H32" i="24"/>
  <c r="K30" i="24"/>
  <c r="I30" i="24"/>
  <c r="H30" i="24"/>
  <c r="K29" i="24"/>
  <c r="I29" i="24"/>
  <c r="H29" i="24"/>
  <c r="K28" i="24"/>
  <c r="I28" i="24"/>
  <c r="H25" i="24"/>
  <c r="H22" i="24"/>
  <c r="L19" i="24"/>
  <c r="K19" i="24"/>
  <c r="AB19" i="24" s="1"/>
  <c r="H19" i="24"/>
  <c r="H16" i="24"/>
  <c r="H13" i="24"/>
  <c r="H11" i="24"/>
  <c r="K10" i="24"/>
  <c r="I10" i="24"/>
  <c r="H10" i="24"/>
  <c r="K8" i="24"/>
  <c r="I8" i="24"/>
  <c r="H8" i="24"/>
  <c r="K7" i="24"/>
  <c r="I7" i="24"/>
  <c r="K6" i="24"/>
  <c r="I6" i="24"/>
  <c r="O114" i="7"/>
  <c r="T16" i="30" s="1"/>
  <c r="T16" i="31"/>
  <c r="V16" i="31"/>
  <c r="W16" i="31" s="1"/>
  <c r="F35" i="7"/>
  <c r="F111" i="7" s="1"/>
  <c r="E35" i="7"/>
  <c r="T17" i="19"/>
  <c r="I17" i="19"/>
  <c r="C3" i="7"/>
  <c r="G79" i="34" s="1"/>
  <c r="G27" i="19"/>
  <c r="G26" i="19"/>
  <c r="G25" i="19"/>
  <c r="G24" i="19"/>
  <c r="G23" i="19"/>
  <c r="G22" i="19"/>
  <c r="G21" i="19"/>
  <c r="G20" i="19"/>
  <c r="G19" i="19"/>
  <c r="G18" i="19"/>
  <c r="G17" i="19"/>
  <c r="G16" i="19"/>
  <c r="G9" i="19"/>
  <c r="G12" i="19" s="1"/>
  <c r="G15" i="19" s="1"/>
  <c r="G8" i="19"/>
  <c r="G11" i="19"/>
  <c r="G14" i="19" s="1"/>
  <c r="G7" i="19"/>
  <c r="G10" i="19" s="1"/>
  <c r="G13" i="19" s="1"/>
  <c r="G6" i="19"/>
  <c r="G5" i="19"/>
  <c r="K27" i="19"/>
  <c r="J27" i="19"/>
  <c r="T27" i="19"/>
  <c r="I27" i="19" s="1"/>
  <c r="S27" i="19"/>
  <c r="H27" i="19"/>
  <c r="B27" i="19"/>
  <c r="C181" i="2" s="1"/>
  <c r="K26" i="19"/>
  <c r="J26" i="19"/>
  <c r="T26" i="19"/>
  <c r="I26" i="19"/>
  <c r="S26" i="19"/>
  <c r="H26" i="19"/>
  <c r="B26" i="19"/>
  <c r="C180" i="2" s="1"/>
  <c r="K25" i="19"/>
  <c r="J25" i="19"/>
  <c r="T25" i="19"/>
  <c r="I25" i="19"/>
  <c r="S25" i="19"/>
  <c r="H25" i="19" s="1"/>
  <c r="B25" i="19"/>
  <c r="C179" i="2" s="1"/>
  <c r="K24" i="19"/>
  <c r="J24" i="19"/>
  <c r="T24" i="19"/>
  <c r="I24" i="19"/>
  <c r="S24" i="19"/>
  <c r="H24" i="19" s="1"/>
  <c r="B24" i="19"/>
  <c r="C178" i="2"/>
  <c r="K23" i="19"/>
  <c r="J23" i="19"/>
  <c r="T23" i="19"/>
  <c r="I23" i="19" s="1"/>
  <c r="S23" i="19"/>
  <c r="H23" i="19" s="1"/>
  <c r="B23" i="19"/>
  <c r="C177" i="2"/>
  <c r="K22" i="19"/>
  <c r="J22" i="19"/>
  <c r="T22" i="19"/>
  <c r="I22" i="19" s="1"/>
  <c r="S22" i="19"/>
  <c r="H22" i="19"/>
  <c r="B22" i="19"/>
  <c r="C176" i="2" s="1"/>
  <c r="K21" i="19"/>
  <c r="J21" i="19"/>
  <c r="T21" i="19"/>
  <c r="I21" i="19"/>
  <c r="S21" i="19"/>
  <c r="H21" i="19"/>
  <c r="B21" i="19"/>
  <c r="C175" i="2" s="1"/>
  <c r="K20" i="19"/>
  <c r="J20" i="19"/>
  <c r="T20" i="19"/>
  <c r="I20" i="19"/>
  <c r="S20" i="19"/>
  <c r="H20" i="19" s="1"/>
  <c r="B20" i="19"/>
  <c r="C174" i="2" s="1"/>
  <c r="K19" i="19"/>
  <c r="J19" i="19"/>
  <c r="S19" i="19"/>
  <c r="H19" i="19"/>
  <c r="B19" i="19"/>
  <c r="C173" i="2" s="1"/>
  <c r="K18" i="19"/>
  <c r="J18" i="19"/>
  <c r="T18" i="19"/>
  <c r="I18" i="19"/>
  <c r="S18" i="19"/>
  <c r="H18" i="19" s="1"/>
  <c r="B18" i="19"/>
  <c r="C172" i="2" s="1"/>
  <c r="K17" i="19"/>
  <c r="J17" i="19"/>
  <c r="S17" i="19"/>
  <c r="H17" i="19" s="1"/>
  <c r="B17" i="19"/>
  <c r="C171" i="2" s="1"/>
  <c r="K16" i="19"/>
  <c r="J16" i="19"/>
  <c r="T16" i="19"/>
  <c r="I16" i="19" s="1"/>
  <c r="S16" i="19"/>
  <c r="H16" i="19" s="1"/>
  <c r="B16" i="19"/>
  <c r="C170" i="2"/>
  <c r="K9" i="19"/>
  <c r="K12" i="19"/>
  <c r="K15" i="19" s="1"/>
  <c r="J9" i="19"/>
  <c r="J12" i="19" s="1"/>
  <c r="J15" i="19" s="1"/>
  <c r="T9" i="19"/>
  <c r="T12" i="19" s="1"/>
  <c r="S9" i="19"/>
  <c r="S12" i="19"/>
  <c r="S15" i="19"/>
  <c r="K8" i="19"/>
  <c r="K11" i="19"/>
  <c r="K14" i="19" s="1"/>
  <c r="J8" i="19"/>
  <c r="J11" i="19" s="1"/>
  <c r="J14" i="19" s="1"/>
  <c r="T8" i="19"/>
  <c r="T11" i="19" s="1"/>
  <c r="I11" i="19" s="1"/>
  <c r="H11" i="19" s="1"/>
  <c r="S8" i="19"/>
  <c r="S11" i="19"/>
  <c r="S14" i="19" s="1"/>
  <c r="K7" i="19"/>
  <c r="K10" i="19"/>
  <c r="K13" i="19"/>
  <c r="J7" i="19"/>
  <c r="J10" i="19"/>
  <c r="J13" i="19" s="1"/>
  <c r="T7" i="19"/>
  <c r="I7" i="19" s="1"/>
  <c r="H7" i="19" s="1"/>
  <c r="S7" i="19"/>
  <c r="S10" i="19" s="1"/>
  <c r="S13" i="19" s="1"/>
  <c r="K6" i="19"/>
  <c r="J6" i="19"/>
  <c r="T6" i="19"/>
  <c r="I6" i="19" s="1"/>
  <c r="S6" i="19"/>
  <c r="H6" i="19"/>
  <c r="B6" i="19"/>
  <c r="C160" i="2" s="1"/>
  <c r="K5" i="19"/>
  <c r="J5" i="19"/>
  <c r="T5" i="19"/>
  <c r="I5" i="19" s="1"/>
  <c r="S5" i="19"/>
  <c r="H5" i="19"/>
  <c r="B5" i="19"/>
  <c r="C159" i="2" s="1"/>
  <c r="J100" i="16"/>
  <c r="I100" i="16"/>
  <c r="D181" i="2"/>
  <c r="D180" i="2"/>
  <c r="D179" i="2"/>
  <c r="D178" i="2"/>
  <c r="D177" i="2"/>
  <c r="D176" i="2"/>
  <c r="D175" i="2"/>
  <c r="D174" i="2"/>
  <c r="D173" i="2"/>
  <c r="D172" i="2"/>
  <c r="D171" i="2"/>
  <c r="D170" i="2"/>
  <c r="D160" i="2"/>
  <c r="D159" i="2"/>
  <c r="G39" i="19"/>
  <c r="G34" i="19"/>
  <c r="P84" i="8"/>
  <c r="J84" i="8"/>
  <c r="I84" i="8"/>
  <c r="H84" i="8"/>
  <c r="G84" i="8"/>
  <c r="P83" i="8"/>
  <c r="J83" i="8"/>
  <c r="I83" i="8"/>
  <c r="H83" i="8"/>
  <c r="G83" i="8"/>
  <c r="P82" i="8"/>
  <c r="J82" i="8"/>
  <c r="I82" i="8"/>
  <c r="H82" i="8"/>
  <c r="G82" i="8"/>
  <c r="P81" i="8"/>
  <c r="J81" i="8"/>
  <c r="I81" i="8"/>
  <c r="H81" i="8"/>
  <c r="G81" i="8"/>
  <c r="P80" i="8"/>
  <c r="J80" i="8"/>
  <c r="I80" i="8"/>
  <c r="H80" i="8"/>
  <c r="P79" i="8"/>
  <c r="J79" i="8"/>
  <c r="I79" i="8"/>
  <c r="H79" i="8"/>
  <c r="P78" i="8"/>
  <c r="J78" i="8"/>
  <c r="I78" i="8"/>
  <c r="H78" i="8"/>
  <c r="Q139" i="7"/>
  <c r="Q133" i="7"/>
  <c r="O53" i="8"/>
  <c r="Q132" i="7"/>
  <c r="O51" i="8"/>
  <c r="Q131" i="7"/>
  <c r="O49" i="8"/>
  <c r="N46" i="8"/>
  <c r="N30" i="8"/>
  <c r="P54" i="8"/>
  <c r="M54" i="8"/>
  <c r="K54" i="8"/>
  <c r="I54" i="8"/>
  <c r="H54" i="8"/>
  <c r="P52" i="8"/>
  <c r="N52" i="8"/>
  <c r="M52" i="8"/>
  <c r="K52" i="8"/>
  <c r="I52" i="8"/>
  <c r="H52" i="8"/>
  <c r="P50" i="8"/>
  <c r="M50" i="8"/>
  <c r="K50" i="8"/>
  <c r="I50" i="8"/>
  <c r="H50" i="8"/>
  <c r="P48" i="8"/>
  <c r="N48" i="8"/>
  <c r="M48" i="8"/>
  <c r="K48" i="8"/>
  <c r="I48" i="8"/>
  <c r="H48" i="8"/>
  <c r="P46" i="8"/>
  <c r="M46" i="8"/>
  <c r="K46" i="8"/>
  <c r="I46" i="8"/>
  <c r="H46" i="8"/>
  <c r="P44" i="8"/>
  <c r="N44" i="8"/>
  <c r="M44" i="8"/>
  <c r="K44" i="8"/>
  <c r="I44" i="8"/>
  <c r="H44" i="8"/>
  <c r="P43" i="8"/>
  <c r="M43" i="8"/>
  <c r="K43" i="8"/>
  <c r="I43" i="8"/>
  <c r="H43" i="8"/>
  <c r="P41" i="8"/>
  <c r="N41" i="8"/>
  <c r="M41" i="8"/>
  <c r="K41" i="8"/>
  <c r="I41" i="8"/>
  <c r="H41" i="8"/>
  <c r="P39" i="8"/>
  <c r="H39" i="8"/>
  <c r="P37" i="8"/>
  <c r="N37" i="8"/>
  <c r="M37" i="8"/>
  <c r="K37" i="8"/>
  <c r="I37" i="8"/>
  <c r="H37" i="8"/>
  <c r="P36" i="8"/>
  <c r="M36" i="8"/>
  <c r="K36" i="8"/>
  <c r="I36" i="8"/>
  <c r="H36" i="8"/>
  <c r="P34" i="8"/>
  <c r="H34" i="8"/>
  <c r="P32" i="8"/>
  <c r="H32" i="8"/>
  <c r="P30" i="8"/>
  <c r="M30" i="8"/>
  <c r="K30" i="8"/>
  <c r="I30" i="8"/>
  <c r="H30" i="8"/>
  <c r="P29" i="8"/>
  <c r="M29" i="8"/>
  <c r="K29" i="8"/>
  <c r="I29" i="8"/>
  <c r="H29" i="8"/>
  <c r="P27" i="8"/>
  <c r="N27" i="8"/>
  <c r="M27" i="8"/>
  <c r="K27" i="8"/>
  <c r="I27" i="8"/>
  <c r="H27" i="8"/>
  <c r="P26" i="8"/>
  <c r="M26" i="8"/>
  <c r="K26" i="8"/>
  <c r="I26" i="8"/>
  <c r="H26" i="8"/>
  <c r="P25" i="8"/>
  <c r="M25" i="8"/>
  <c r="K25" i="8"/>
  <c r="I25" i="8"/>
  <c r="H25" i="8"/>
  <c r="P22" i="8"/>
  <c r="H22" i="8"/>
  <c r="P19" i="8"/>
  <c r="H19" i="8"/>
  <c r="P16" i="8"/>
  <c r="H16" i="8"/>
  <c r="P13" i="8"/>
  <c r="H13" i="8"/>
  <c r="P10" i="8"/>
  <c r="H10" i="8"/>
  <c r="P8" i="8"/>
  <c r="H8" i="8"/>
  <c r="P7" i="8"/>
  <c r="M7" i="8"/>
  <c r="K7" i="8"/>
  <c r="I7" i="8"/>
  <c r="H7" i="8"/>
  <c r="P6" i="8"/>
  <c r="M6" i="8"/>
  <c r="K6" i="8"/>
  <c r="I6" i="8"/>
  <c r="H6" i="8"/>
  <c r="N59" i="16"/>
  <c r="P99" i="16"/>
  <c r="M99" i="16"/>
  <c r="J99" i="16"/>
  <c r="I99" i="16"/>
  <c r="H99" i="16"/>
  <c r="G99" i="16"/>
  <c r="P98" i="16"/>
  <c r="J98" i="16"/>
  <c r="I98" i="16"/>
  <c r="H98" i="16"/>
  <c r="G98" i="16"/>
  <c r="P97" i="16"/>
  <c r="J97" i="16"/>
  <c r="I97" i="16"/>
  <c r="H97" i="16"/>
  <c r="G97" i="16"/>
  <c r="P96" i="16"/>
  <c r="J96" i="16"/>
  <c r="I96" i="16"/>
  <c r="H96" i="16"/>
  <c r="G96" i="16"/>
  <c r="P95" i="16"/>
  <c r="J95" i="16"/>
  <c r="I95" i="16"/>
  <c r="H95" i="16"/>
  <c r="G95" i="16"/>
  <c r="P94" i="16"/>
  <c r="J94" i="16"/>
  <c r="I94" i="16"/>
  <c r="H94" i="16"/>
  <c r="P93" i="16"/>
  <c r="J93" i="16"/>
  <c r="I93" i="16"/>
  <c r="H93" i="16"/>
  <c r="P92" i="16"/>
  <c r="J92" i="16"/>
  <c r="I92" i="16"/>
  <c r="H92" i="16"/>
  <c r="I84" i="16"/>
  <c r="P83" i="16"/>
  <c r="M83" i="16"/>
  <c r="I83" i="16"/>
  <c r="H83" i="16"/>
  <c r="G83" i="16"/>
  <c r="I82" i="16"/>
  <c r="P81" i="16"/>
  <c r="M81" i="16"/>
  <c r="J81" i="16"/>
  <c r="I81" i="16"/>
  <c r="H81" i="16"/>
  <c r="G81" i="16"/>
  <c r="I80" i="16"/>
  <c r="P79" i="16"/>
  <c r="M79" i="16"/>
  <c r="J79" i="16"/>
  <c r="I79" i="16"/>
  <c r="H79" i="16"/>
  <c r="G79" i="16"/>
  <c r="P78" i="16"/>
  <c r="J78" i="16"/>
  <c r="I78" i="16"/>
  <c r="H78" i="16"/>
  <c r="G78" i="16"/>
  <c r="P77" i="16"/>
  <c r="J77" i="16"/>
  <c r="I77" i="16"/>
  <c r="H77" i="16"/>
  <c r="G77" i="16"/>
  <c r="P76" i="16"/>
  <c r="J76" i="16"/>
  <c r="I76" i="16"/>
  <c r="H76" i="16"/>
  <c r="G76" i="16"/>
  <c r="P75" i="16"/>
  <c r="J75" i="16"/>
  <c r="I75" i="16"/>
  <c r="H75" i="16"/>
  <c r="G75" i="16"/>
  <c r="P73" i="16"/>
  <c r="N73" i="16"/>
  <c r="J73" i="16"/>
  <c r="I73" i="16"/>
  <c r="H73" i="16"/>
  <c r="G73" i="16"/>
  <c r="P72" i="16"/>
  <c r="J72" i="16"/>
  <c r="I72" i="16"/>
  <c r="H72" i="16"/>
  <c r="G72" i="16"/>
  <c r="P71" i="16"/>
  <c r="J71" i="16"/>
  <c r="I71" i="16"/>
  <c r="H71" i="16"/>
  <c r="G71" i="16"/>
  <c r="P63" i="16"/>
  <c r="M63" i="16"/>
  <c r="K63" i="16"/>
  <c r="I63" i="16"/>
  <c r="H63" i="16"/>
  <c r="P61" i="16"/>
  <c r="O61" i="16"/>
  <c r="M61" i="16"/>
  <c r="K61" i="16"/>
  <c r="I61" i="16"/>
  <c r="H61" i="16"/>
  <c r="P59" i="16"/>
  <c r="O59" i="16"/>
  <c r="M59" i="16"/>
  <c r="K59" i="16"/>
  <c r="I59" i="16"/>
  <c r="H59" i="16"/>
  <c r="P57" i="16"/>
  <c r="O57" i="16"/>
  <c r="N57" i="16"/>
  <c r="M57" i="16"/>
  <c r="K57" i="16"/>
  <c r="I57" i="16"/>
  <c r="H57" i="16"/>
  <c r="P55" i="16"/>
  <c r="N55" i="16"/>
  <c r="M55" i="16"/>
  <c r="K55" i="16"/>
  <c r="I55" i="16"/>
  <c r="H55" i="16"/>
  <c r="P53" i="16"/>
  <c r="M53" i="16"/>
  <c r="K53" i="16"/>
  <c r="I53" i="16"/>
  <c r="H53" i="16"/>
  <c r="P52" i="16"/>
  <c r="M52" i="16"/>
  <c r="K52" i="16"/>
  <c r="I52" i="16"/>
  <c r="H52" i="16"/>
  <c r="P51" i="16"/>
  <c r="M51" i="16"/>
  <c r="K51" i="16"/>
  <c r="I51" i="16"/>
  <c r="P49" i="16"/>
  <c r="N49" i="16"/>
  <c r="M49" i="16"/>
  <c r="K49" i="16"/>
  <c r="I49" i="16"/>
  <c r="H49" i="16"/>
  <c r="P47" i="16"/>
  <c r="H47" i="16"/>
  <c r="P45" i="16"/>
  <c r="H45" i="16"/>
  <c r="P43" i="16"/>
  <c r="N43" i="16"/>
  <c r="M43" i="16"/>
  <c r="K43" i="16"/>
  <c r="I43" i="16"/>
  <c r="H43" i="16"/>
  <c r="P42" i="16"/>
  <c r="M42" i="16"/>
  <c r="K42" i="16"/>
  <c r="I42" i="16"/>
  <c r="H42" i="16"/>
  <c r="P41" i="16"/>
  <c r="M41" i="16"/>
  <c r="K41" i="16"/>
  <c r="I41" i="16"/>
  <c r="P39" i="16"/>
  <c r="M39" i="16"/>
  <c r="K39" i="16"/>
  <c r="I39" i="16"/>
  <c r="H39" i="16"/>
  <c r="P37" i="16"/>
  <c r="H37" i="16"/>
  <c r="P35" i="16"/>
  <c r="K35" i="16"/>
  <c r="AB35" i="16"/>
  <c r="I35" i="16"/>
  <c r="AA35" i="16"/>
  <c r="H35" i="16"/>
  <c r="P33" i="16"/>
  <c r="M33" i="16"/>
  <c r="K33" i="16"/>
  <c r="I33" i="16"/>
  <c r="H33" i="16"/>
  <c r="P32" i="16"/>
  <c r="M32" i="16"/>
  <c r="K32" i="16"/>
  <c r="I32" i="16"/>
  <c r="H32" i="16"/>
  <c r="P30" i="16"/>
  <c r="N30" i="16"/>
  <c r="M30" i="16"/>
  <c r="K30" i="16"/>
  <c r="I30" i="16"/>
  <c r="H30" i="16"/>
  <c r="P29" i="16"/>
  <c r="M29" i="16"/>
  <c r="K29" i="16"/>
  <c r="I29" i="16"/>
  <c r="H29" i="16"/>
  <c r="P28" i="16"/>
  <c r="M28" i="16"/>
  <c r="K28" i="16"/>
  <c r="I28" i="16"/>
  <c r="P25" i="16"/>
  <c r="H25" i="16"/>
  <c r="P22" i="16"/>
  <c r="H22" i="16"/>
  <c r="P19" i="16"/>
  <c r="H19" i="16"/>
  <c r="P16" i="16"/>
  <c r="H16" i="16"/>
  <c r="P13" i="16"/>
  <c r="H13" i="16"/>
  <c r="P11" i="16"/>
  <c r="H11" i="16"/>
  <c r="P10" i="16"/>
  <c r="M10" i="16"/>
  <c r="K10" i="16"/>
  <c r="I10" i="16"/>
  <c r="H10" i="16"/>
  <c r="P8" i="16"/>
  <c r="M8" i="16"/>
  <c r="K8" i="16"/>
  <c r="I8" i="16"/>
  <c r="H8" i="16"/>
  <c r="P7" i="16"/>
  <c r="M7" i="16"/>
  <c r="K7" i="16"/>
  <c r="I7" i="16"/>
  <c r="P6" i="16"/>
  <c r="M6" i="16"/>
  <c r="K6" i="16"/>
  <c r="I6" i="16"/>
  <c r="Q66" i="7"/>
  <c r="Q38" i="7"/>
  <c r="J38" i="7" s="1"/>
  <c r="B27" i="6"/>
  <c r="C3" i="6"/>
  <c r="B28" i="6"/>
  <c r="D15" i="6"/>
  <c r="D16" i="6" s="1"/>
  <c r="H10" i="6"/>
  <c r="H11" i="6"/>
  <c r="H12" i="6"/>
  <c r="H4" i="6"/>
  <c r="H5" i="6"/>
  <c r="H6" i="6" s="1"/>
  <c r="J3" i="6"/>
  <c r="L3" i="6" s="1"/>
  <c r="N54" i="8"/>
  <c r="N33" i="16"/>
  <c r="N61" i="16"/>
  <c r="N50" i="8"/>
  <c r="N53" i="16"/>
  <c r="T19" i="19"/>
  <c r="I19" i="19" s="1"/>
  <c r="J83" i="16"/>
  <c r="N8" i="16"/>
  <c r="N63" i="16"/>
  <c r="C38" i="7"/>
  <c r="I19" i="16" s="1"/>
  <c r="AA19" i="16" s="1"/>
  <c r="L22" i="26"/>
  <c r="G92" i="24"/>
  <c r="H41" i="26"/>
  <c r="K11" i="26"/>
  <c r="AB11" i="26" s="1"/>
  <c r="O111" i="7"/>
  <c r="T8" i="34" s="1"/>
  <c r="T8" i="30"/>
  <c r="V8" i="30" s="1"/>
  <c r="W8" i="30" s="1"/>
  <c r="O46" i="7"/>
  <c r="T35" i="16" s="1"/>
  <c r="T11" i="16"/>
  <c r="V11" i="16" s="1"/>
  <c r="W11" i="16" s="1"/>
  <c r="U11" i="16"/>
  <c r="O36" i="7"/>
  <c r="O112" i="7" s="1"/>
  <c r="T13" i="16"/>
  <c r="V13" i="16" s="1"/>
  <c r="W13" i="16" s="1"/>
  <c r="Q35" i="7"/>
  <c r="J35" i="7" s="1"/>
  <c r="U11" i="26"/>
  <c r="C122" i="7"/>
  <c r="I32" i="34" s="1"/>
  <c r="AA32" i="34" s="1"/>
  <c r="F115" i="7"/>
  <c r="L19" i="32" s="1"/>
  <c r="L22" i="24"/>
  <c r="G93" i="16"/>
  <c r="G93" i="26"/>
  <c r="G92" i="26"/>
  <c r="G79" i="8"/>
  <c r="H7" i="26"/>
  <c r="G93" i="24"/>
  <c r="G94" i="26"/>
  <c r="H6" i="24"/>
  <c r="H6" i="26"/>
  <c r="H7" i="24"/>
  <c r="F36" i="7"/>
  <c r="L13" i="24" s="1"/>
  <c r="D35" i="7"/>
  <c r="D111" i="7"/>
  <c r="J8" i="31" s="1"/>
  <c r="H48" i="19"/>
  <c r="H58" i="19" s="1"/>
  <c r="H68" i="19" s="1"/>
  <c r="H78" i="19" s="1"/>
  <c r="H88" i="19" s="1"/>
  <c r="K48" i="19"/>
  <c r="K58" i="19" s="1"/>
  <c r="K68" i="19" s="1"/>
  <c r="K78" i="19" s="1"/>
  <c r="K88" i="19" s="1"/>
  <c r="E10" i="19"/>
  <c r="H55" i="19"/>
  <c r="H65" i="19"/>
  <c r="H75" i="19" s="1"/>
  <c r="H85" i="19" s="1"/>
  <c r="I50" i="19"/>
  <c r="I60" i="19"/>
  <c r="I70" i="19" s="1"/>
  <c r="I80" i="19" s="1"/>
  <c r="I90" i="19" s="1"/>
  <c r="K45" i="19"/>
  <c r="K55" i="19" s="1"/>
  <c r="K65" i="19" s="1"/>
  <c r="K75" i="19" s="1"/>
  <c r="K85" i="19" s="1"/>
  <c r="L19" i="30"/>
  <c r="L15" i="19"/>
  <c r="E15" i="19"/>
  <c r="T8" i="33"/>
  <c r="U8" i="33" s="1"/>
  <c r="T8" i="32"/>
  <c r="T8" i="31"/>
  <c r="V8" i="31" s="1"/>
  <c r="W8" i="31" s="1"/>
  <c r="U8" i="31"/>
  <c r="I32" i="31"/>
  <c r="AA32" i="31" s="1"/>
  <c r="T10" i="33"/>
  <c r="H25" i="30"/>
  <c r="G78" i="34"/>
  <c r="G79" i="33"/>
  <c r="H25" i="34"/>
  <c r="H25" i="33"/>
  <c r="G80" i="34"/>
  <c r="G81" i="30"/>
  <c r="T16" i="32"/>
  <c r="V16" i="32" s="1"/>
  <c r="W16" i="32" s="1"/>
  <c r="U16" i="32"/>
  <c r="Q114" i="7"/>
  <c r="J114" i="7" s="1"/>
  <c r="T16" i="34"/>
  <c r="U16" i="34" s="1"/>
  <c r="V16" i="34"/>
  <c r="W16" i="34"/>
  <c r="T16" i="33"/>
  <c r="E11" i="19"/>
  <c r="U16" i="31"/>
  <c r="AI124" i="19"/>
  <c r="AK124" i="19" s="1"/>
  <c r="I124" i="19" s="1"/>
  <c r="AI123" i="19"/>
  <c r="AI122" i="19"/>
  <c r="I32" i="30"/>
  <c r="AA32" i="30" s="1"/>
  <c r="J8" i="34"/>
  <c r="J11" i="16"/>
  <c r="Q111" i="7"/>
  <c r="J111" i="7" s="1"/>
  <c r="V19" i="26"/>
  <c r="W19" i="26"/>
  <c r="J8" i="30"/>
  <c r="L11" i="24"/>
  <c r="K11" i="24"/>
  <c r="AB11" i="24"/>
  <c r="V16" i="30"/>
  <c r="W16" i="30"/>
  <c r="U16" i="30"/>
  <c r="T13" i="31" l="1"/>
  <c r="V13" i="31" s="1"/>
  <c r="W13" i="31" s="1"/>
  <c r="Q37" i="7"/>
  <c r="J37" i="7" s="1"/>
  <c r="T15" i="19"/>
  <c r="I15" i="19" s="1"/>
  <c r="H15" i="19" s="1"/>
  <c r="I12" i="19"/>
  <c r="H12" i="19" s="1"/>
  <c r="U8" i="34"/>
  <c r="V8" i="34"/>
  <c r="W8" i="34" s="1"/>
  <c r="L8" i="34"/>
  <c r="L8" i="32"/>
  <c r="L8" i="33"/>
  <c r="L8" i="8"/>
  <c r="L8" i="30"/>
  <c r="L8" i="31"/>
  <c r="U35" i="16"/>
  <c r="T45" i="16"/>
  <c r="I32" i="32"/>
  <c r="AA32" i="32" s="1"/>
  <c r="C126" i="7"/>
  <c r="G80" i="30"/>
  <c r="G92" i="16"/>
  <c r="G79" i="32"/>
  <c r="L11" i="26"/>
  <c r="H28" i="24"/>
  <c r="F116" i="7"/>
  <c r="I32" i="8"/>
  <c r="U32" i="8" s="1"/>
  <c r="S37" i="24"/>
  <c r="S47" i="24" s="1"/>
  <c r="Q47" i="7"/>
  <c r="J47" i="7" s="1"/>
  <c r="O53" i="7"/>
  <c r="Q53" i="7" s="1"/>
  <c r="J53" i="7" s="1"/>
  <c r="F112" i="7"/>
  <c r="G79" i="30"/>
  <c r="S37" i="16"/>
  <c r="S47" i="16" s="1"/>
  <c r="T11" i="24"/>
  <c r="E115" i="7"/>
  <c r="K19" i="8" s="1"/>
  <c r="V19" i="8" s="1"/>
  <c r="C52" i="7"/>
  <c r="L25" i="24"/>
  <c r="Q46" i="7"/>
  <c r="J46" i="7" s="1"/>
  <c r="I8" i="19"/>
  <c r="H8" i="19" s="1"/>
  <c r="K32" i="31"/>
  <c r="AB32" i="31" s="1"/>
  <c r="T32" i="30"/>
  <c r="C39" i="7"/>
  <c r="K22" i="26"/>
  <c r="AB22" i="26" s="1"/>
  <c r="L25" i="16"/>
  <c r="L25" i="26"/>
  <c r="K32" i="32"/>
  <c r="AB32" i="32" s="1"/>
  <c r="H28" i="16"/>
  <c r="H51" i="26"/>
  <c r="K22" i="24"/>
  <c r="AB22" i="24" s="1"/>
  <c r="E126" i="7"/>
  <c r="G94" i="16"/>
  <c r="G78" i="8"/>
  <c r="K32" i="33"/>
  <c r="AB32" i="33" s="1"/>
  <c r="K32" i="34"/>
  <c r="AB32" i="34" s="1"/>
  <c r="S34" i="32"/>
  <c r="U13" i="16"/>
  <c r="T13" i="26"/>
  <c r="S34" i="33"/>
  <c r="H41" i="16"/>
  <c r="L19" i="26"/>
  <c r="S34" i="34"/>
  <c r="Q36" i="7"/>
  <c r="J36" i="7" s="1"/>
  <c r="V19" i="24"/>
  <c r="W19" i="24" s="1"/>
  <c r="G94" i="24"/>
  <c r="K32" i="8"/>
  <c r="V32" i="8" s="1"/>
  <c r="I9" i="19"/>
  <c r="H9" i="19" s="1"/>
  <c r="AK123" i="19"/>
  <c r="I123" i="19" s="1"/>
  <c r="T13" i="24"/>
  <c r="U13" i="24" s="1"/>
  <c r="H6" i="16"/>
  <c r="I32" i="33"/>
  <c r="AA32" i="33" s="1"/>
  <c r="L19" i="8"/>
  <c r="H28" i="26"/>
  <c r="H41" i="24"/>
  <c r="T10" i="19"/>
  <c r="G80" i="32"/>
  <c r="H51" i="24"/>
  <c r="G80" i="8"/>
  <c r="D38" i="7"/>
  <c r="V19" i="16"/>
  <c r="W19" i="16" s="1"/>
  <c r="G78" i="31"/>
  <c r="H7" i="16"/>
  <c r="F114" i="7"/>
  <c r="I35" i="24"/>
  <c r="AA35" i="24" s="1"/>
  <c r="L11" i="16"/>
  <c r="H25" i="31"/>
  <c r="D39" i="7"/>
  <c r="K25" i="26"/>
  <c r="AB25" i="26" s="1"/>
  <c r="O116" i="7"/>
  <c r="G79" i="31"/>
  <c r="L19" i="31"/>
  <c r="L19" i="33"/>
  <c r="S25" i="24"/>
  <c r="Q40" i="7"/>
  <c r="J40" i="7" s="1"/>
  <c r="H25" i="32"/>
  <c r="G80" i="33"/>
  <c r="L19" i="34"/>
  <c r="S25" i="16"/>
  <c r="U8" i="30"/>
  <c r="V8" i="33"/>
  <c r="W8" i="33" s="1"/>
  <c r="G78" i="32"/>
  <c r="O39" i="7"/>
  <c r="S22" i="24" s="1"/>
  <c r="K45" i="26"/>
  <c r="AB45" i="26" s="1"/>
  <c r="G80" i="31"/>
  <c r="G81" i="33"/>
  <c r="G161" i="7"/>
  <c r="J122" i="19" s="1"/>
  <c r="U10" i="33"/>
  <c r="V10" i="33"/>
  <c r="W10" i="33" s="1"/>
  <c r="I19" i="24"/>
  <c r="AA19" i="24" s="1"/>
  <c r="C114" i="7"/>
  <c r="I19" i="26"/>
  <c r="AA19" i="26" s="1"/>
  <c r="U8" i="32"/>
  <c r="V8" i="32"/>
  <c r="W8" i="32" s="1"/>
  <c r="J11" i="24"/>
  <c r="J11" i="26"/>
  <c r="L22" i="32"/>
  <c r="L22" i="8"/>
  <c r="L22" i="30"/>
  <c r="O52" i="7"/>
  <c r="Q52" i="7" s="1"/>
  <c r="J52" i="7" s="1"/>
  <c r="T35" i="26"/>
  <c r="T32" i="34"/>
  <c r="T32" i="31"/>
  <c r="T35" i="24"/>
  <c r="T32" i="32"/>
  <c r="T32" i="33"/>
  <c r="T16" i="26"/>
  <c r="T16" i="16"/>
  <c r="T13" i="34"/>
  <c r="T13" i="32"/>
  <c r="T13" i="30"/>
  <c r="T16" i="24"/>
  <c r="T13" i="33"/>
  <c r="F46" i="7"/>
  <c r="E111" i="7"/>
  <c r="D46" i="7"/>
  <c r="E36" i="7"/>
  <c r="C35" i="7"/>
  <c r="K11" i="16"/>
  <c r="AB11" i="16" s="1"/>
  <c r="E114" i="7"/>
  <c r="K19" i="26"/>
  <c r="AB19" i="26" s="1"/>
  <c r="K19" i="16"/>
  <c r="AB19" i="16" s="1"/>
  <c r="K25" i="16"/>
  <c r="AB25" i="16" s="1"/>
  <c r="C40" i="7"/>
  <c r="E116" i="7"/>
  <c r="J8" i="33"/>
  <c r="J8" i="32"/>
  <c r="T10" i="32"/>
  <c r="Q112" i="7"/>
  <c r="J112" i="7" s="1"/>
  <c r="T10" i="34"/>
  <c r="T10" i="31"/>
  <c r="O122" i="7"/>
  <c r="T14" i="19"/>
  <c r="I14" i="19" s="1"/>
  <c r="H14" i="19" s="1"/>
  <c r="U13" i="31"/>
  <c r="V16" i="33"/>
  <c r="W16" i="33" s="1"/>
  <c r="U16" i="33"/>
  <c r="D36" i="7"/>
  <c r="F37" i="7"/>
  <c r="L13" i="26"/>
  <c r="Q39" i="7"/>
  <c r="J39" i="7" s="1"/>
  <c r="S22" i="16"/>
  <c r="S22" i="26"/>
  <c r="J25" i="26"/>
  <c r="J25" i="16"/>
  <c r="D116" i="7"/>
  <c r="J25" i="24"/>
  <c r="T10" i="30"/>
  <c r="J8" i="8"/>
  <c r="L13" i="16"/>
  <c r="O113" i="7"/>
  <c r="Q113" i="7" s="1"/>
  <c r="J113" i="7" s="1"/>
  <c r="K27" i="6"/>
  <c r="C8" i="6"/>
  <c r="D29" i="6"/>
  <c r="K28" i="6"/>
  <c r="K26" i="6"/>
  <c r="K39" i="33"/>
  <c r="AB39" i="33" s="1"/>
  <c r="K39" i="32"/>
  <c r="AB39" i="32" s="1"/>
  <c r="H51" i="16"/>
  <c r="S34" i="31"/>
  <c r="S34" i="30"/>
  <c r="AK122" i="19"/>
  <c r="I122" i="19" s="1"/>
  <c r="G160" i="7"/>
  <c r="J121" i="19" s="1"/>
  <c r="G162" i="7"/>
  <c r="J123" i="19" s="1"/>
  <c r="L16" i="8" l="1"/>
  <c r="L16" i="34"/>
  <c r="L16" i="30"/>
  <c r="L16" i="31"/>
  <c r="L16" i="32"/>
  <c r="L16" i="33"/>
  <c r="J19" i="24"/>
  <c r="D114" i="7"/>
  <c r="J19" i="16"/>
  <c r="J19" i="26"/>
  <c r="U11" i="24"/>
  <c r="V11" i="24"/>
  <c r="W11" i="24" s="1"/>
  <c r="L22" i="34"/>
  <c r="L22" i="33"/>
  <c r="L22" i="31"/>
  <c r="I10" i="19"/>
  <c r="H10" i="19" s="1"/>
  <c r="T13" i="19"/>
  <c r="I13" i="19" s="1"/>
  <c r="H13" i="19" s="1"/>
  <c r="I45" i="16"/>
  <c r="AA45" i="16" s="1"/>
  <c r="I45" i="26"/>
  <c r="AA45" i="26" s="1"/>
  <c r="I45" i="24"/>
  <c r="AA45" i="24" s="1"/>
  <c r="I22" i="16"/>
  <c r="AA22" i="16" s="1"/>
  <c r="I22" i="24"/>
  <c r="AA22" i="24" s="1"/>
  <c r="I22" i="26"/>
  <c r="AA22" i="26" s="1"/>
  <c r="C115" i="7"/>
  <c r="K19" i="33"/>
  <c r="AB19" i="33" s="1"/>
  <c r="I39" i="8"/>
  <c r="U39" i="8" s="1"/>
  <c r="I39" i="30"/>
  <c r="AA39" i="30" s="1"/>
  <c r="I39" i="32"/>
  <c r="AA39" i="32" s="1"/>
  <c r="I39" i="31"/>
  <c r="AA39" i="31" s="1"/>
  <c r="U13" i="26"/>
  <c r="V13" i="26"/>
  <c r="W13" i="26" s="1"/>
  <c r="V35" i="16"/>
  <c r="U45" i="16"/>
  <c r="U32" i="30"/>
  <c r="T39" i="30"/>
  <c r="K19" i="30"/>
  <c r="AB19" i="30" s="1"/>
  <c r="L10" i="34"/>
  <c r="L10" i="8"/>
  <c r="L10" i="33"/>
  <c r="L10" i="31"/>
  <c r="L10" i="30"/>
  <c r="V13" i="24"/>
  <c r="W13" i="24" s="1"/>
  <c r="L10" i="32"/>
  <c r="K39" i="34"/>
  <c r="AB39" i="34" s="1"/>
  <c r="K39" i="30"/>
  <c r="AB39" i="30" s="1"/>
  <c r="K39" i="31"/>
  <c r="AB39" i="31" s="1"/>
  <c r="K39" i="8"/>
  <c r="V39" i="8" s="1"/>
  <c r="I39" i="33"/>
  <c r="AA39" i="33" s="1"/>
  <c r="O123" i="7"/>
  <c r="Q123" i="7" s="1"/>
  <c r="J123" i="7" s="1"/>
  <c r="S22" i="30"/>
  <c r="S22" i="34"/>
  <c r="S22" i="33"/>
  <c r="S22" i="32"/>
  <c r="S22" i="31"/>
  <c r="Q116" i="7"/>
  <c r="J116" i="7" s="1"/>
  <c r="K19" i="32"/>
  <c r="AB19" i="32" s="1"/>
  <c r="K19" i="34"/>
  <c r="AB19" i="34" s="1"/>
  <c r="J22" i="26"/>
  <c r="J22" i="24"/>
  <c r="J22" i="16"/>
  <c r="D115" i="7"/>
  <c r="K19" i="31"/>
  <c r="AB19" i="31" s="1"/>
  <c r="I39" i="34"/>
  <c r="AA39" i="34" s="1"/>
  <c r="O115" i="7"/>
  <c r="F113" i="7"/>
  <c r="D37" i="7"/>
  <c r="L16" i="16"/>
  <c r="L16" i="26"/>
  <c r="L16" i="24"/>
  <c r="U10" i="34"/>
  <c r="V10" i="34"/>
  <c r="W10" i="34" s="1"/>
  <c r="I25" i="26"/>
  <c r="AA25" i="26" s="1"/>
  <c r="I25" i="24"/>
  <c r="AA25" i="24" s="1"/>
  <c r="C116" i="7"/>
  <c r="I25" i="16"/>
  <c r="AA25" i="16" s="1"/>
  <c r="E112" i="7"/>
  <c r="K13" i="26"/>
  <c r="AB13" i="26" s="1"/>
  <c r="E37" i="7"/>
  <c r="K13" i="24"/>
  <c r="AB13" i="24" s="1"/>
  <c r="K13" i="16"/>
  <c r="AB13" i="16" s="1"/>
  <c r="C36" i="7"/>
  <c r="V16" i="16"/>
  <c r="W16" i="16" s="1"/>
  <c r="U16" i="16"/>
  <c r="T45" i="24"/>
  <c r="U35" i="24"/>
  <c r="M28" i="6"/>
  <c r="C9" i="6"/>
  <c r="C13" i="6"/>
  <c r="M26" i="6"/>
  <c r="C19" i="6"/>
  <c r="L9" i="6" s="1"/>
  <c r="M27" i="6"/>
  <c r="C12" i="6"/>
  <c r="L6" i="6" s="1"/>
  <c r="C11" i="6"/>
  <c r="V10" i="30"/>
  <c r="W10" i="30" s="1"/>
  <c r="U10" i="30"/>
  <c r="J22" i="8"/>
  <c r="J22" i="33"/>
  <c r="J22" i="30"/>
  <c r="J22" i="31"/>
  <c r="J22" i="32"/>
  <c r="J22" i="34"/>
  <c r="V10" i="31"/>
  <c r="W10" i="31" s="1"/>
  <c r="U10" i="31"/>
  <c r="E47" i="7"/>
  <c r="I11" i="24"/>
  <c r="AA11" i="24" s="1"/>
  <c r="I11" i="16"/>
  <c r="AA11" i="16" s="1"/>
  <c r="C111" i="7"/>
  <c r="I11" i="26"/>
  <c r="AA11" i="26" s="1"/>
  <c r="F122" i="7"/>
  <c r="F52" i="7"/>
  <c r="L35" i="26"/>
  <c r="L35" i="24"/>
  <c r="F47" i="7"/>
  <c r="L35" i="16"/>
  <c r="V13" i="33"/>
  <c r="W13" i="33" s="1"/>
  <c r="U13" i="33"/>
  <c r="V13" i="34"/>
  <c r="W13" i="34" s="1"/>
  <c r="U13" i="34"/>
  <c r="T39" i="32"/>
  <c r="U32" i="32"/>
  <c r="T45" i="26"/>
  <c r="U35" i="26"/>
  <c r="I16" i="34"/>
  <c r="AA16" i="34" s="1"/>
  <c r="I16" i="31"/>
  <c r="AA16" i="31" s="1"/>
  <c r="I16" i="8"/>
  <c r="U16" i="8" s="1"/>
  <c r="I16" i="30"/>
  <c r="AA16" i="30" s="1"/>
  <c r="I16" i="32"/>
  <c r="AA16" i="32" s="1"/>
  <c r="I16" i="33"/>
  <c r="AA16" i="33" s="1"/>
  <c r="K16" i="34"/>
  <c r="AB16" i="34" s="1"/>
  <c r="K16" i="32"/>
  <c r="AB16" i="32" s="1"/>
  <c r="K16" i="8"/>
  <c r="V16" i="8" s="1"/>
  <c r="K16" i="30"/>
  <c r="AB16" i="30" s="1"/>
  <c r="K16" i="33"/>
  <c r="AB16" i="33" s="1"/>
  <c r="K16" i="31"/>
  <c r="AB16" i="31" s="1"/>
  <c r="J13" i="16"/>
  <c r="J13" i="26"/>
  <c r="J13" i="24"/>
  <c r="D112" i="7"/>
  <c r="D122" i="7"/>
  <c r="D52" i="7"/>
  <c r="J35" i="16"/>
  <c r="J35" i="26"/>
  <c r="D47" i="7"/>
  <c r="J35" i="24"/>
  <c r="U13" i="30"/>
  <c r="V13" i="30"/>
  <c r="W13" i="30" s="1"/>
  <c r="U16" i="26"/>
  <c r="V16" i="26"/>
  <c r="W16" i="26" s="1"/>
  <c r="T39" i="31"/>
  <c r="U32" i="31"/>
  <c r="U16" i="24"/>
  <c r="V16" i="24"/>
  <c r="W16" i="24" s="1"/>
  <c r="S19" i="30"/>
  <c r="S19" i="31"/>
  <c r="Q115" i="7"/>
  <c r="J115" i="7" s="1"/>
  <c r="S19" i="32"/>
  <c r="S19" i="34"/>
  <c r="S19" i="33"/>
  <c r="S122" i="7"/>
  <c r="Q122" i="7"/>
  <c r="J122" i="7" s="1"/>
  <c r="O126" i="7"/>
  <c r="Q126" i="7" s="1"/>
  <c r="J126" i="7" s="1"/>
  <c r="V10" i="32"/>
  <c r="W10" i="32" s="1"/>
  <c r="U10" i="32"/>
  <c r="K22" i="33"/>
  <c r="AB22" i="33" s="1"/>
  <c r="K22" i="30"/>
  <c r="AB22" i="30" s="1"/>
  <c r="K22" i="32"/>
  <c r="AB22" i="32" s="1"/>
  <c r="K22" i="31"/>
  <c r="AB22" i="31" s="1"/>
  <c r="K22" i="8"/>
  <c r="V22" i="8" s="1"/>
  <c r="K22" i="34"/>
  <c r="AB22" i="34" s="1"/>
  <c r="K8" i="30"/>
  <c r="AB8" i="30" s="1"/>
  <c r="K8" i="31"/>
  <c r="AB8" i="31" s="1"/>
  <c r="K8" i="33"/>
  <c r="AB8" i="33" s="1"/>
  <c r="K8" i="34"/>
  <c r="AB8" i="34" s="1"/>
  <c r="K8" i="8"/>
  <c r="V8" i="8" s="1"/>
  <c r="K8" i="32"/>
  <c r="AB8" i="32" s="1"/>
  <c r="F126" i="7"/>
  <c r="D126" i="7"/>
  <c r="V13" i="32"/>
  <c r="W13" i="32" s="1"/>
  <c r="U13" i="32"/>
  <c r="U32" i="33"/>
  <c r="T39" i="33"/>
  <c r="U32" i="34"/>
  <c r="T39" i="34"/>
  <c r="I19" i="8" l="1"/>
  <c r="U19" i="8" s="1"/>
  <c r="I19" i="30"/>
  <c r="AA19" i="30" s="1"/>
  <c r="I19" i="33"/>
  <c r="AA19" i="33" s="1"/>
  <c r="I19" i="31"/>
  <c r="AA19" i="31" s="1"/>
  <c r="I19" i="32"/>
  <c r="AA19" i="32" s="1"/>
  <c r="I19" i="34"/>
  <c r="AA19" i="34" s="1"/>
  <c r="V32" i="30"/>
  <c r="U39" i="30"/>
  <c r="J19" i="32"/>
  <c r="J19" i="8"/>
  <c r="J19" i="31"/>
  <c r="J19" i="34"/>
  <c r="J19" i="30"/>
  <c r="J19" i="33"/>
  <c r="J16" i="33"/>
  <c r="J16" i="32"/>
  <c r="J16" i="31"/>
  <c r="J16" i="8"/>
  <c r="J16" i="30"/>
  <c r="J16" i="34"/>
  <c r="M29" i="6"/>
  <c r="W35" i="16"/>
  <c r="W45" i="16" s="1"/>
  <c r="V45" i="16"/>
  <c r="V32" i="33"/>
  <c r="U39" i="33"/>
  <c r="U39" i="31"/>
  <c r="V32" i="31"/>
  <c r="J39" i="33"/>
  <c r="J39" i="31"/>
  <c r="J39" i="32"/>
  <c r="J39" i="8"/>
  <c r="J39" i="34"/>
  <c r="J39" i="30"/>
  <c r="V35" i="26"/>
  <c r="U45" i="26"/>
  <c r="L45" i="24"/>
  <c r="L45" i="26"/>
  <c r="L45" i="16"/>
  <c r="I8" i="8"/>
  <c r="U8" i="8" s="1"/>
  <c r="I8" i="30"/>
  <c r="AA8" i="30" s="1"/>
  <c r="I8" i="34"/>
  <c r="AA8" i="34" s="1"/>
  <c r="I8" i="32"/>
  <c r="AA8" i="32" s="1"/>
  <c r="I8" i="33"/>
  <c r="AA8" i="33" s="1"/>
  <c r="I8" i="31"/>
  <c r="AA8" i="31" s="1"/>
  <c r="K10" i="8"/>
  <c r="V10" i="8" s="1"/>
  <c r="K10" i="32"/>
  <c r="AB10" i="32" s="1"/>
  <c r="K10" i="30"/>
  <c r="AB10" i="30" s="1"/>
  <c r="K10" i="34"/>
  <c r="AB10" i="34" s="1"/>
  <c r="K10" i="33"/>
  <c r="AB10" i="33" s="1"/>
  <c r="K10" i="31"/>
  <c r="AB10" i="31" s="1"/>
  <c r="L39" i="8"/>
  <c r="L39" i="30"/>
  <c r="L39" i="32"/>
  <c r="L39" i="31"/>
  <c r="L39" i="33"/>
  <c r="L39" i="34"/>
  <c r="J45" i="24"/>
  <c r="J45" i="26"/>
  <c r="J45" i="16"/>
  <c r="F123" i="7"/>
  <c r="L37" i="26"/>
  <c r="L37" i="24"/>
  <c r="F53" i="7"/>
  <c r="L37" i="16"/>
  <c r="K16" i="24"/>
  <c r="AB16" i="24" s="1"/>
  <c r="C37" i="7"/>
  <c r="K16" i="16"/>
  <c r="AB16" i="16" s="1"/>
  <c r="E113" i="7"/>
  <c r="K16" i="26"/>
  <c r="AB16" i="26" s="1"/>
  <c r="J37" i="16"/>
  <c r="J37" i="24"/>
  <c r="D123" i="7"/>
  <c r="J37" i="26"/>
  <c r="D53" i="7"/>
  <c r="J32" i="32"/>
  <c r="J32" i="8"/>
  <c r="J32" i="33"/>
  <c r="J32" i="31"/>
  <c r="J32" i="34"/>
  <c r="J32" i="30"/>
  <c r="J10" i="32"/>
  <c r="J10" i="31"/>
  <c r="J10" i="8"/>
  <c r="J10" i="34"/>
  <c r="J10" i="33"/>
  <c r="J10" i="30"/>
  <c r="V32" i="32"/>
  <c r="U39" i="32"/>
  <c r="V35" i="24"/>
  <c r="U45" i="24"/>
  <c r="I13" i="16"/>
  <c r="AA13" i="16" s="1"/>
  <c r="I13" i="24"/>
  <c r="AA13" i="24" s="1"/>
  <c r="C112" i="7"/>
  <c r="I13" i="26"/>
  <c r="AA13" i="26" s="1"/>
  <c r="I22" i="33"/>
  <c r="AA22" i="33" s="1"/>
  <c r="I22" i="32"/>
  <c r="AA22" i="32" s="1"/>
  <c r="I22" i="8"/>
  <c r="U22" i="8" s="1"/>
  <c r="I22" i="31"/>
  <c r="AA22" i="31" s="1"/>
  <c r="I22" i="30"/>
  <c r="AA22" i="30" s="1"/>
  <c r="I22" i="34"/>
  <c r="AA22" i="34" s="1"/>
  <c r="D113" i="7"/>
  <c r="J16" i="16"/>
  <c r="J16" i="24"/>
  <c r="J16" i="26"/>
  <c r="L32" i="32"/>
  <c r="L32" i="8"/>
  <c r="L32" i="30"/>
  <c r="L32" i="31"/>
  <c r="L32" i="33"/>
  <c r="L32" i="34"/>
  <c r="U39" i="34"/>
  <c r="V32" i="34"/>
  <c r="E123" i="7"/>
  <c r="K37" i="16"/>
  <c r="AB37" i="16" s="1"/>
  <c r="C47" i="7"/>
  <c r="E53" i="7"/>
  <c r="K37" i="24"/>
  <c r="AB37" i="24" s="1"/>
  <c r="K37" i="26"/>
  <c r="AB37" i="26" s="1"/>
  <c r="L13" i="34"/>
  <c r="L13" i="30"/>
  <c r="L13" i="31"/>
  <c r="L13" i="8"/>
  <c r="L13" i="32"/>
  <c r="L13" i="33"/>
  <c r="V39" i="30" l="1"/>
  <c r="W32" i="30"/>
  <c r="W39" i="30" s="1"/>
  <c r="I10" i="30"/>
  <c r="AA10" i="30" s="1"/>
  <c r="I10" i="33"/>
  <c r="AA10" i="33" s="1"/>
  <c r="I10" i="32"/>
  <c r="AA10" i="32" s="1"/>
  <c r="I10" i="31"/>
  <c r="AA10" i="31" s="1"/>
  <c r="I10" i="8"/>
  <c r="U10" i="8" s="1"/>
  <c r="I10" i="34"/>
  <c r="AA10" i="34" s="1"/>
  <c r="K47" i="16"/>
  <c r="AB47" i="16" s="1"/>
  <c r="K47" i="26"/>
  <c r="AB47" i="26" s="1"/>
  <c r="K47" i="24"/>
  <c r="AB47" i="24" s="1"/>
  <c r="K34" i="30"/>
  <c r="AB34" i="30" s="1"/>
  <c r="K34" i="31"/>
  <c r="AB34" i="31" s="1"/>
  <c r="K34" i="34"/>
  <c r="AB34" i="34" s="1"/>
  <c r="K34" i="33"/>
  <c r="AB34" i="33" s="1"/>
  <c r="K34" i="32"/>
  <c r="AB34" i="32" s="1"/>
  <c r="K34" i="8"/>
  <c r="V34" i="8" s="1"/>
  <c r="J13" i="31"/>
  <c r="J13" i="30"/>
  <c r="J13" i="8"/>
  <c r="J13" i="32"/>
  <c r="J13" i="33"/>
  <c r="J13" i="34"/>
  <c r="J47" i="16"/>
  <c r="J47" i="26"/>
  <c r="J47" i="24"/>
  <c r="L47" i="16"/>
  <c r="L47" i="24"/>
  <c r="L47" i="26"/>
  <c r="W32" i="31"/>
  <c r="W39" i="31" s="1"/>
  <c r="V39" i="31"/>
  <c r="V45" i="24"/>
  <c r="W35" i="24"/>
  <c r="W45" i="24" s="1"/>
  <c r="I16" i="16"/>
  <c r="AA16" i="16" s="1"/>
  <c r="C113" i="7"/>
  <c r="I16" i="24"/>
  <c r="AA16" i="24" s="1"/>
  <c r="I16" i="26"/>
  <c r="AA16" i="26" s="1"/>
  <c r="W35" i="26"/>
  <c r="W45" i="26" s="1"/>
  <c r="V45" i="26"/>
  <c r="I37" i="16"/>
  <c r="AA37" i="16" s="1"/>
  <c r="C53" i="7"/>
  <c r="I37" i="26"/>
  <c r="AA37" i="26" s="1"/>
  <c r="I37" i="24"/>
  <c r="AA37" i="24" s="1"/>
  <c r="C123" i="7"/>
  <c r="J34" i="34"/>
  <c r="J34" i="8"/>
  <c r="J34" i="32"/>
  <c r="J34" i="33"/>
  <c r="J34" i="31"/>
  <c r="J34" i="30"/>
  <c r="K13" i="34"/>
  <c r="AB13" i="34" s="1"/>
  <c r="K13" i="30"/>
  <c r="AB13" i="30" s="1"/>
  <c r="K13" i="8"/>
  <c r="V13" i="8" s="1"/>
  <c r="K13" i="32"/>
  <c r="AB13" i="32" s="1"/>
  <c r="K13" i="31"/>
  <c r="AB13" i="31" s="1"/>
  <c r="K13" i="33"/>
  <c r="AB13" i="33" s="1"/>
  <c r="W32" i="34"/>
  <c r="W39" i="34" s="1"/>
  <c r="V39" i="34"/>
  <c r="V39" i="32"/>
  <c r="W32" i="32"/>
  <c r="W39" i="32" s="1"/>
  <c r="L34" i="31"/>
  <c r="L34" i="8"/>
  <c r="L34" i="30"/>
  <c r="L34" i="33"/>
  <c r="L34" i="34"/>
  <c r="L34" i="32"/>
  <c r="V39" i="33"/>
  <c r="W32" i="33"/>
  <c r="W39" i="33" s="1"/>
  <c r="I13" i="32" l="1"/>
  <c r="AA13" i="32" s="1"/>
  <c r="I13" i="33"/>
  <c r="AA13" i="33" s="1"/>
  <c r="I13" i="8"/>
  <c r="U13" i="8" s="1"/>
  <c r="I13" i="34"/>
  <c r="AA13" i="34" s="1"/>
  <c r="I13" i="31"/>
  <c r="AA13" i="31" s="1"/>
  <c r="I13" i="30"/>
  <c r="AA13" i="30" s="1"/>
  <c r="I47" i="16"/>
  <c r="AA47" i="16" s="1"/>
  <c r="I47" i="24"/>
  <c r="AA47" i="24" s="1"/>
  <c r="I47" i="26"/>
  <c r="AA47" i="26" s="1"/>
  <c r="I34" i="33"/>
  <c r="AA34" i="33" s="1"/>
  <c r="I34" i="8"/>
  <c r="U34" i="8" s="1"/>
  <c r="I34" i="31"/>
  <c r="AA34" i="31" s="1"/>
  <c r="I34" i="30"/>
  <c r="AA34" i="30" s="1"/>
  <c r="I34" i="32"/>
  <c r="AA34" i="32" s="1"/>
  <c r="I34" i="34"/>
  <c r="AA34" i="3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anayami</author>
    <author>ese-veda05</author>
    <author>FEB</author>
    <author>RDM</author>
  </authors>
  <commentList>
    <comment ref="C29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In case that two technologies are combined the highest % cost in O&amp;M in choosen </t>
        </r>
      </text>
    </comment>
    <comment ref="C3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same as 
 the natural gas
</t>
        </r>
      </text>
    </comment>
    <comment ref="E3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 xml:space="preserve">anayami:
</t>
        </r>
        <r>
          <rPr>
            <sz val="8"/>
            <color indexed="81"/>
            <rFont val="Tahoma"/>
            <family val="2"/>
          </rPr>
          <t>installed on the wall</t>
        </r>
      </text>
    </comment>
    <comment ref="O39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This ratio comes from EHPA Ecofys report difference between real and theoretical COP</t>
        </r>
      </text>
    </comment>
    <comment ref="E44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H&amp;C database</t>
        </r>
      </text>
    </comment>
    <comment ref="E54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Dave</t>
        </r>
      </text>
    </comment>
    <comment ref="C5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same as 
 the natural gas
</t>
        </r>
      </text>
    </comment>
    <comment ref="C5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anayami:
</t>
        </r>
        <r>
          <rPr>
            <sz val="8"/>
            <color indexed="81"/>
            <rFont val="Tahoma"/>
            <family val="2"/>
          </rPr>
          <t>The same as 
 the natural gas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7" authorId="0" shapeId="0" xr:uid="{00000000-0006-0000-0200-000009000000}">
      <text>
        <r>
          <rPr>
            <sz val="8"/>
            <color indexed="81"/>
            <rFont val="Tahoma"/>
            <family val="2"/>
          </rPr>
          <t>The same as 
 the natural gas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58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 xml:space="preserve">anayami:
</t>
        </r>
        <r>
          <rPr>
            <sz val="8"/>
            <color indexed="81"/>
            <rFont val="Tahoma"/>
            <family val="2"/>
          </rPr>
          <t>The same as 
 the natural gas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2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same as 
 the natural gas
</t>
        </r>
      </text>
    </comment>
    <comment ref="E68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We consider that this technology is a heat exchanger linked directly to the ground (without heat pump)</t>
        </r>
      </text>
    </comment>
    <comment ref="G76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methodolgy for heat pumps is different from heating and cooling process</t>
        </r>
      </text>
    </comment>
    <comment ref="G85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There is a report published by the European Commission about leveling in apliances.
Maybe we have some contact in DG ENER who works in this topic.</t>
        </r>
      </text>
    </comment>
    <comment ref="E111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Scale factor from Energy and Buildings. Evaluation of several measures to improve the energy efficiency and CO2 emission in the european single-family houses. Pardo N., Thiel C. 2012</t>
        </r>
      </text>
    </comment>
    <comment ref="E118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Scale factor comes from the JRC database</t>
        </r>
      </text>
    </comment>
    <comment ref="H119" authorId="2" shapeId="0" xr:uid="{00000000-0006-0000-0200-00001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same as residential
</t>
        </r>
      </text>
    </comment>
    <comment ref="I123" authorId="2" shapeId="0" xr:uid="{00000000-0006-0000-0200-00001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to check because so much different from residential
</t>
        </r>
      </text>
    </comment>
    <comment ref="A126" authorId="2" shapeId="0" xr:uid="{00000000-0006-0000-0200-000013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change to cool instead of hotwater as was done before for residential</t>
        </r>
      </text>
    </comment>
    <comment ref="I126" authorId="2" shapeId="0" xr:uid="{00000000-0006-0000-0200-000014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to check because so much different from residential
</t>
        </r>
      </text>
    </comment>
    <comment ref="E127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Based on Dave Andrews expert feedback in September 2013 (GH40 senior scientist at ESE Unit IET/JRC)
</t>
        </r>
      </text>
    </comment>
    <comment ref="H129" authorId="2" shapeId="0" xr:uid="{00000000-0006-0000-0200-000016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same as residential
</t>
        </r>
      </text>
    </comment>
    <comment ref="H130" authorId="2" shapeId="0" xr:uid="{00000000-0006-0000-0200-000017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same as residential
</t>
        </r>
      </text>
    </comment>
    <comment ref="E131" authorId="0" shapeId="0" xr:uid="{00000000-0006-0000-0200-000018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Base on the JRC data base. Ratio collector 4m2 and 24m2</t>
        </r>
      </text>
    </comment>
    <comment ref="E147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same value as for the residential sector is considered</t>
        </r>
      </text>
    </comment>
    <comment ref="G160" authorId="3" shapeId="0" xr:uid="{00000000-0006-0000-0200-00001A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the ratio:
EFF INC / EFF AVGStock</t>
        </r>
      </text>
    </comment>
    <comment ref="A161" authorId="3" shapeId="0" xr:uid="{00000000-0006-0000-0200-00001B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Tech is "dominated"</t>
        </r>
      </text>
    </comment>
    <comment ref="G161" authorId="3" shapeId="0" xr:uid="{00000000-0006-0000-0200-00001C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the ratio:
EFF INCIMP / EFF AVGStock</t>
        </r>
      </text>
    </comment>
    <comment ref="Q161" authorId="3" shapeId="0" xr:uid="{00000000-0006-0000-0200-00001D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TO BE CHECKED!</t>
        </r>
      </text>
    </comment>
    <comment ref="G162" authorId="3" shapeId="0" xr:uid="{00000000-0006-0000-0200-00001E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the ratio:
EFF HAL / EFF AVGStock</t>
        </r>
      </text>
    </comment>
    <comment ref="E163" authorId="3" shapeId="0" xr:uid="{00000000-0006-0000-0200-00001F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Are all to be checked</t>
        </r>
      </text>
    </comment>
    <comment ref="G163" authorId="3" shapeId="0" xr:uid="{00000000-0006-0000-0200-000020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the ratio:
EFF FLU / EFF AVGStock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L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M1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N1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O1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P13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Q1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L14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assumption for combined techs</t>
        </r>
      </text>
    </comment>
    <comment ref="Q14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assumption for combined techs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0" shapeId="0" xr:uid="{00000000-0006-0000-06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47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7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48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90" authorId="0" shapeId="0" xr:uid="{00000000-0006-0000-0600-000007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90" authorId="0" shapeId="0" xr:uid="{00000000-0006-0000-0600-000008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91" authorId="0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133" authorId="0" shapeId="0" xr:uid="{00000000-0006-0000-0600-00000A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33" authorId="0" shapeId="0" xr:uid="{00000000-0006-0000-0600-00000B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134" authorId="0" shapeId="0" xr:uid="{00000000-0006-0000-0600-00000C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4" authorId="0" shapeId="0" xr:uid="{00000000-0006-0000-07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RDM</author>
  </authors>
  <commentList>
    <comment ref="H4" authorId="0" shapeId="0" xr:uid="{00000000-0006-0000-0C00-000001000000}">
      <text>
        <r>
          <rPr>
            <b/>
            <sz val="10"/>
            <color indexed="81"/>
            <rFont val="Tahoma"/>
            <family val="2"/>
          </rPr>
          <t>Maurizio Gargiulo:</t>
        </r>
        <r>
          <rPr>
            <sz val="10"/>
            <color indexed="81"/>
            <rFont val="Tahoma"/>
            <family val="2"/>
          </rPr>
          <t xml:space="preserve">
Meuro/Munits
</t>
        </r>
      </text>
    </comment>
    <comment ref="I4" authorId="0" shapeId="0" xr:uid="{00000000-0006-0000-0C00-000002000000}">
      <text>
        <r>
          <rPr>
            <b/>
            <sz val="10"/>
            <color indexed="81"/>
            <rFont val="Tahoma"/>
            <family val="2"/>
          </rPr>
          <t>Maurizio Gargiulo:</t>
        </r>
        <r>
          <rPr>
            <sz val="10"/>
            <color indexed="81"/>
            <rFont val="Tahoma"/>
            <family val="2"/>
          </rPr>
          <t xml:space="preserve">
Meuro/Munits
All but cooking</t>
        </r>
      </text>
    </comment>
    <comment ref="H7" authorId="1" shapeId="0" xr:uid="{00000000-0006-0000-0C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11/7/2015
2% of investment cost
</t>
        </r>
      </text>
    </comment>
    <comment ref="S125" authorId="2" shapeId="0" xr:uid="{00000000-0006-0000-0C00-000004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Com.Other Energy.Generic.00.</t>
        </r>
      </text>
    </comment>
    <comment ref="S126" authorId="2" shapeId="0" xr:uid="{00000000-0006-0000-0C00-000005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Com.Other Electricity.ELC.00.Other Equipments.</t>
        </r>
      </text>
    </comment>
    <comment ref="S132" authorId="2" shapeId="0" xr:uid="{00000000-0006-0000-0C00-000006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Com.Other Energy.Generic.00.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R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10/6/2015
</t>
        </r>
      </text>
    </comment>
  </commentList>
</comments>
</file>

<file path=xl/sharedStrings.xml><?xml version="1.0" encoding="utf-8"?>
<sst xmlns="http://schemas.openxmlformats.org/spreadsheetml/2006/main" count="5343" uniqueCount="841">
  <si>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</si>
  <si>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</si>
  <si>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</si>
  <si>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</si>
  <si>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</si>
  <si>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</si>
  <si>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</si>
  <si>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</si>
  <si>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DAYNITE</t>
  </si>
  <si>
    <t>Ambient heat commercial</t>
  </si>
  <si>
    <t>Ambient heat residential</t>
  </si>
  <si>
    <t>~FI_Process</t>
  </si>
  <si>
    <t>Tact</t>
  </si>
  <si>
    <t>Tcap</t>
  </si>
  <si>
    <t>Tslvl</t>
  </si>
  <si>
    <t>~FI_T</t>
  </si>
  <si>
    <t>Sets</t>
  </si>
  <si>
    <t>TechName</t>
  </si>
  <si>
    <t>TechDesc</t>
  </si>
  <si>
    <t>Comm-IN</t>
  </si>
  <si>
    <t>Comm-OUT</t>
  </si>
  <si>
    <t>Year</t>
  </si>
  <si>
    <t>AF</t>
  </si>
  <si>
    <t>CAPUNIT</t>
  </si>
  <si>
    <t>FIXOM</t>
  </si>
  <si>
    <t>INVCOST</t>
  </si>
  <si>
    <t>LIFE</t>
  </si>
  <si>
    <t>SHARE~COMSOL</t>
  </si>
  <si>
    <t>SHARE~COMAHT</t>
  </si>
  <si>
    <t>START</t>
  </si>
  <si>
    <t>GW</t>
  </si>
  <si>
    <t>PJ</t>
  </si>
  <si>
    <t>COMELC</t>
  </si>
  <si>
    <t>COMGEO</t>
  </si>
  <si>
    <t>COMAHT</t>
  </si>
  <si>
    <t>COMGAS</t>
  </si>
  <si>
    <t>roomaircond/airfans/rooftop</t>
  </si>
  <si>
    <t>and</t>
  </si>
  <si>
    <t>RESIDENTIAL SECTOR</t>
  </si>
  <si>
    <t>COMMERCIAL SECTOR</t>
  </si>
  <si>
    <t>EFF HP</t>
  </si>
  <si>
    <t>Electric boiler</t>
  </si>
  <si>
    <t>could it be linked to the efficiency?</t>
  </si>
  <si>
    <t>for R</t>
  </si>
  <si>
    <t>for C</t>
  </si>
  <si>
    <t>Share AHT/GHT/SOL</t>
  </si>
  <si>
    <t>I didnot take the VAROM</t>
  </si>
  <si>
    <t>Efficiency Cooling</t>
  </si>
  <si>
    <t>ShareAHT/GHT/SOL</t>
  </si>
  <si>
    <t>SOL110</t>
  </si>
  <si>
    <t>per10year</t>
  </si>
  <si>
    <t>Commercial Sector</t>
  </si>
  <si>
    <t>Fuelcell Technologies with CHP</t>
  </si>
  <si>
    <t>FC output to Heat demand</t>
  </si>
  <si>
    <t>FC output to HotWater demand</t>
  </si>
  <si>
    <t>FCW110</t>
  </si>
  <si>
    <t>FCH110</t>
  </si>
  <si>
    <t>COMGHT</t>
  </si>
  <si>
    <t>RSDGHT</t>
  </si>
  <si>
    <t>Ground heat commercial</t>
  </si>
  <si>
    <t>Ground heat residential</t>
  </si>
  <si>
    <t>DMD</t>
  </si>
  <si>
    <t>COMOIL</t>
  </si>
  <si>
    <t>COMSOL</t>
  </si>
  <si>
    <t>COMBIO</t>
  </si>
  <si>
    <t>COMLPG</t>
  </si>
  <si>
    <t>Efficiency</t>
  </si>
  <si>
    <t>EVOL INV</t>
  </si>
  <si>
    <t>sh SOL</t>
  </si>
  <si>
    <t>sh dr</t>
  </si>
  <si>
    <t>sh w</t>
  </si>
  <si>
    <t>share AHT</t>
  </si>
  <si>
    <t>share sol</t>
  </si>
  <si>
    <t>Dual output heat/hotwater</t>
  </si>
  <si>
    <t>Incandescent STAD lighting system</t>
  </si>
  <si>
    <t>Halogens lighting system</t>
  </si>
  <si>
    <t>Refrigerators (A+, A++)</t>
  </si>
  <si>
    <t>SHARE~RSDAHT</t>
  </si>
  <si>
    <t>SHARE~RSDSOL</t>
  </si>
  <si>
    <t>RSDBIO</t>
  </si>
  <si>
    <t>RSDOIL</t>
  </si>
  <si>
    <t>RSDELC</t>
  </si>
  <si>
    <t>RSDAHT</t>
  </si>
  <si>
    <t>RSDGAS</t>
  </si>
  <si>
    <t>RSDGEO</t>
  </si>
  <si>
    <t>RSDLPG</t>
  </si>
  <si>
    <t>RSDSOL</t>
  </si>
  <si>
    <t>other</t>
  </si>
  <si>
    <t>the correct value is taken from the BY template in the transformation file</t>
  </si>
  <si>
    <t>Incandescent IMP lighting system</t>
  </si>
  <si>
    <t>For LIG some changes for improved incandescent (no standard anymore)</t>
  </si>
  <si>
    <t>The sheet 'Generalized Data' contains the basic data used to generate the sector data in sheet RSD..,COM..</t>
  </si>
  <si>
    <t>RSDHH2</t>
  </si>
  <si>
    <t>Common/Default values for parameters</t>
  </si>
  <si>
    <t>stove</t>
  </si>
  <si>
    <t>boiler</t>
  </si>
  <si>
    <t>Correction for efficiency for distribution of heat (quid cooling), is done in the transformation file</t>
  </si>
  <si>
    <t>Heat</t>
  </si>
  <si>
    <t>HotWater</t>
  </si>
  <si>
    <t>Share of output, default but adapted in the transformation file</t>
  </si>
  <si>
    <t>Availability</t>
  </si>
  <si>
    <t xml:space="preserve">Natural gas boiler.HeatHotwater </t>
  </si>
  <si>
    <t xml:space="preserve">LPG boiler.HeatHotwater </t>
  </si>
  <si>
    <t xml:space="preserve">Oil boiler.HeatHotwater </t>
  </si>
  <si>
    <t xml:space="preserve">Solar collector with diesel backup.HeatHotwater </t>
  </si>
  <si>
    <t xml:space="preserve">Solar collector with gas backup.HeatHotwater </t>
  </si>
  <si>
    <t xml:space="preserve">Solar collector with electric backup.HeatHotwater </t>
  </si>
  <si>
    <t xml:space="preserve">Wood-pellets boiler.HeatHotwater </t>
  </si>
  <si>
    <t>Biodiesel Boiler.HeatHotwater</t>
  </si>
  <si>
    <t>OIL401</t>
  </si>
  <si>
    <t>Oil boiler condensing.HeatHotwater</t>
  </si>
  <si>
    <t>Oil stove</t>
  </si>
  <si>
    <t>GAS501</t>
  </si>
  <si>
    <t xml:space="preserve">Natural gas boiler condensing.HeatHotwater </t>
  </si>
  <si>
    <t>LPG stove</t>
  </si>
  <si>
    <t>LPG301</t>
  </si>
  <si>
    <t>Air heat pump with LPG boiler.HeatCool</t>
  </si>
  <si>
    <t>BIO101</t>
  </si>
  <si>
    <t>Wood Fireplace</t>
  </si>
  <si>
    <t>HYD110</t>
  </si>
  <si>
    <t>Hydrogen  burner</t>
  </si>
  <si>
    <t>Electric boiler water heater resistance</t>
  </si>
  <si>
    <t>Electric heat pump water heater</t>
  </si>
  <si>
    <t>Natural gas boiler water heater</t>
  </si>
  <si>
    <t>LPG boiler water heater</t>
  </si>
  <si>
    <t>Solar water heater with diesel backup</t>
  </si>
  <si>
    <t>Solar water heater with gas backup</t>
  </si>
  <si>
    <t>Geo Heat Exchanger water heater</t>
  </si>
  <si>
    <t>SOLG101</t>
  </si>
  <si>
    <t>GEO101</t>
  </si>
  <si>
    <t>SOLE101</t>
  </si>
  <si>
    <t>Solar water heater with electricity backup</t>
  </si>
  <si>
    <t>Room air-conditioner</t>
  </si>
  <si>
    <t>Air fans</t>
  </si>
  <si>
    <t>Roof-top central electric chiller</t>
  </si>
  <si>
    <t>Non reversible gas heat pump</t>
  </si>
  <si>
    <t>Oil boiler water heater</t>
  </si>
  <si>
    <t>Non-reversible electricity heat pump</t>
  </si>
  <si>
    <t>Centralized electrical air conditioner</t>
  </si>
  <si>
    <t>Centralized gas air conditioner</t>
  </si>
  <si>
    <t>COKELC101</t>
  </si>
  <si>
    <t>COKGAS101</t>
  </si>
  <si>
    <t>COKLPG101</t>
  </si>
  <si>
    <t>LIGELC101</t>
  </si>
  <si>
    <t>LIGELC201</t>
  </si>
  <si>
    <t>LIGELC301</t>
  </si>
  <si>
    <t>LIGELC401</t>
  </si>
  <si>
    <t>REFELC101</t>
  </si>
  <si>
    <t>REFELC201</t>
  </si>
  <si>
    <t>REFELC301</t>
  </si>
  <si>
    <t>REFELC401</t>
  </si>
  <si>
    <t>OELELC101</t>
  </si>
  <si>
    <t>REFELC501</t>
  </si>
  <si>
    <t>REFELC601</t>
  </si>
  <si>
    <t>CDRELC101</t>
  </si>
  <si>
    <t>CDRELC201</t>
  </si>
  <si>
    <t>CWAELC101</t>
  </si>
  <si>
    <t>CWAELC201</t>
  </si>
  <si>
    <t>CWAELC301</t>
  </si>
  <si>
    <t>CWAELC401</t>
  </si>
  <si>
    <t>DWAELC101</t>
  </si>
  <si>
    <t>DWAELC201</t>
  </si>
  <si>
    <t>Share of input</t>
  </si>
  <si>
    <t>AHT</t>
  </si>
  <si>
    <t>GHT</t>
  </si>
  <si>
    <t>backup will depend on country</t>
  </si>
  <si>
    <t>Centralized solar air conditioner</t>
  </si>
  <si>
    <t>BIO201</t>
  </si>
  <si>
    <t>Biomass stove</t>
  </si>
  <si>
    <t xml:space="preserve">District heat exchanger.HeatHotwater </t>
  </si>
  <si>
    <t>ELCHP201</t>
  </si>
  <si>
    <t>ELCHP202</t>
  </si>
  <si>
    <t>ELCHP301</t>
  </si>
  <si>
    <t>ELCHP302</t>
  </si>
  <si>
    <t>ELCHP401</t>
  </si>
  <si>
    <t>ELCHP101</t>
  </si>
  <si>
    <t>GASHP101</t>
  </si>
  <si>
    <t>PLIELC101</t>
  </si>
  <si>
    <t>insulation equal 1, ACTBND computed in the demprojgms, the technologies deliver 1 unit of heat demand</t>
  </si>
  <si>
    <t>RSDHET</t>
  </si>
  <si>
    <t>Efficiency COOL</t>
  </si>
  <si>
    <t>Others</t>
  </si>
  <si>
    <t>1 year =</t>
  </si>
  <si>
    <t>hours</t>
  </si>
  <si>
    <t>House</t>
  </si>
  <si>
    <t>GJ</t>
  </si>
  <si>
    <t>GJ/day</t>
  </si>
  <si>
    <t>Heating season</t>
  </si>
  <si>
    <t>peak</t>
  </si>
  <si>
    <t>typic house</t>
  </si>
  <si>
    <t>1kw =</t>
  </si>
  <si>
    <t>GJ/h</t>
  </si>
  <si>
    <t>GJ/year</t>
  </si>
  <si>
    <t>PJ/year</t>
  </si>
  <si>
    <t>Hot water</t>
  </si>
  <si>
    <t>Hot water demand timing</t>
  </si>
  <si>
    <t>kw</t>
  </si>
  <si>
    <t>MW</t>
  </si>
  <si>
    <t>Availability of heating Equipment</t>
  </si>
  <si>
    <t>Availability of hot water equipment</t>
  </si>
  <si>
    <t>aver.demand</t>
  </si>
  <si>
    <t>GW capacity installed to satisfy demand</t>
  </si>
  <si>
    <t>margin</t>
  </si>
  <si>
    <t>aver. capacity</t>
  </si>
  <si>
    <t>gaz geyser</t>
  </si>
  <si>
    <t>demand+reservemargin</t>
  </si>
  <si>
    <t>electric boiler</t>
  </si>
  <si>
    <t>heating season</t>
  </si>
  <si>
    <t>sun boiler</t>
  </si>
  <si>
    <t>Een thermische zonneboiler met oppevlakte van 4 m2 werd gekozen.</t>
  </si>
  <si>
    <t>Deze kan tot 1.2 kWth opbrengen, gegeven dat 10 m2 3 kWth kan opbrengen.</t>
  </si>
  <si>
    <t>electric heating acc</t>
  </si>
  <si>
    <t>electric heating conv</t>
  </si>
  <si>
    <t>is linked to the kw installed, 0.15 corresponds to 20kw</t>
  </si>
  <si>
    <t>solar and electric boiler for hotwater have another capacity (to verify)</t>
  </si>
  <si>
    <t>Investment Cost</t>
  </si>
  <si>
    <t>Life</t>
  </si>
  <si>
    <t>Fixom</t>
  </si>
  <si>
    <t>Efficiency H</t>
  </si>
  <si>
    <t>Heating Technologies</t>
  </si>
  <si>
    <t>Efficiency HW</t>
  </si>
  <si>
    <t>SOL</t>
  </si>
  <si>
    <t>Water Heating</t>
  </si>
  <si>
    <t>Cooling</t>
  </si>
  <si>
    <t>Hydrogen burner might be added</t>
  </si>
  <si>
    <t>Other Electricity Other Appliances.</t>
  </si>
  <si>
    <t>Public lighting</t>
  </si>
  <si>
    <t>SHARE~COMGHT</t>
  </si>
  <si>
    <t>share GHT</t>
  </si>
  <si>
    <t>shareGHT</t>
  </si>
  <si>
    <t>Figures for CEFF gives the loss compared to general efficiency when delivering 2nd output</t>
  </si>
  <si>
    <t xml:space="preserve">Efficiency </t>
  </si>
  <si>
    <t>Commercial Water Heating</t>
  </si>
  <si>
    <t>Commercial Cooling</t>
  </si>
  <si>
    <t>Commercial Others</t>
  </si>
  <si>
    <t>ELC101</t>
  </si>
  <si>
    <t xml:space="preserve">Electric radiators </t>
  </si>
  <si>
    <t xml:space="preserve">Natural gas stove </t>
  </si>
  <si>
    <t xml:space="preserve">Natural gas boiler </t>
  </si>
  <si>
    <t xml:space="preserve">Natural gas boiler condensing </t>
  </si>
  <si>
    <t xml:space="preserve">LPG boiler </t>
  </si>
  <si>
    <t xml:space="preserve">Oil boiler </t>
  </si>
  <si>
    <t>ELC201</t>
  </si>
  <si>
    <t>ELC301</t>
  </si>
  <si>
    <t>ELC401</t>
  </si>
  <si>
    <t>GAS101</t>
  </si>
  <si>
    <t>GAS201</t>
  </si>
  <si>
    <t>GAS301</t>
  </si>
  <si>
    <t>GAS401</t>
  </si>
  <si>
    <t>LPG101</t>
  </si>
  <si>
    <t>LPG201</t>
  </si>
  <si>
    <t>LTH101</t>
  </si>
  <si>
    <t>OIL101</t>
  </si>
  <si>
    <t>OIL201</t>
  </si>
  <si>
    <t>OIL301</t>
  </si>
  <si>
    <t>WOO101</t>
  </si>
  <si>
    <t>SOLD101</t>
  </si>
  <si>
    <t>SOLG201</t>
  </si>
  <si>
    <t>EFF</t>
  </si>
  <si>
    <t>Cloth drying high efficency (AB)</t>
  </si>
  <si>
    <t>RCDR</t>
  </si>
  <si>
    <t>Cloth drying medium efficiency</t>
  </si>
  <si>
    <t>Electric Washing Machine</t>
  </si>
  <si>
    <t>RCWA</t>
  </si>
  <si>
    <t>Electric Washing Machine High Efficiency (AB)</t>
  </si>
  <si>
    <t>Elect. Comb Washing/Drying Mach High Efficiency</t>
  </si>
  <si>
    <t>Electr. Comb Washing/Drying Medium Efficiency</t>
  </si>
  <si>
    <t>Dish Washer high efficiency (A+,A++)</t>
  </si>
  <si>
    <t>RDWA</t>
  </si>
  <si>
    <t>Dish Washer medium efficiency (D)</t>
  </si>
  <si>
    <t>RLIG</t>
  </si>
  <si>
    <t>Refrigerator/Freezer baseline 510 lts (Ass.AB)</t>
  </si>
  <si>
    <t>RREF</t>
  </si>
  <si>
    <t>Refrigerator/Freezer max eff 510 lts (Ass.A++)</t>
  </si>
  <si>
    <t>ROEL</t>
  </si>
  <si>
    <t>Dual output heat/cooling</t>
  </si>
  <si>
    <t>SHARE~RSDGHT</t>
  </si>
  <si>
    <t xml:space="preserve">Residential Space Heating </t>
  </si>
  <si>
    <t xml:space="preserve">Residential Water Heating </t>
  </si>
  <si>
    <t>Residential Cooling</t>
  </si>
  <si>
    <t>Start</t>
  </si>
  <si>
    <t>Sheet 'Techselection' contains the table with unselected technologies for some sectors, the technologies have been put in he global list because then can be discussed and easier to do</t>
  </si>
  <si>
    <t>at this stage the cost is the same in all residential sectors and commercial sectors</t>
  </si>
  <si>
    <t>at a further stage, cost differential or other could be introduced</t>
  </si>
  <si>
    <t>The insulation data have still to be adapted and a potential computed.</t>
  </si>
  <si>
    <t xml:space="preserve">Fuel cell - PEMFC - for heat and power </t>
  </si>
  <si>
    <t xml:space="preserve">Fuel cell - SOFC - for heat and power </t>
  </si>
  <si>
    <t xml:space="preserve">Incandescent IMP lighting system </t>
  </si>
  <si>
    <t>Fluorescent lighting system</t>
  </si>
  <si>
    <t>Refrigerators (energy class B,A)</t>
  </si>
  <si>
    <t>Freezers (B,A)</t>
  </si>
  <si>
    <t>Freezers (A+,A++)</t>
  </si>
  <si>
    <t>Cap2Act</t>
  </si>
  <si>
    <t>COMHH2</t>
  </si>
  <si>
    <t>ELCLOW</t>
  </si>
  <si>
    <t>COMWSE</t>
  </si>
  <si>
    <t>SOLD601</t>
  </si>
  <si>
    <t>NRG</t>
  </si>
  <si>
    <t>for technologies where cap2act is the activity per unit machine (lamp, cooking stove, diswasher)</t>
  </si>
  <si>
    <t xml:space="preserve">the cost are in € per 1000 unit equipment for the other </t>
  </si>
  <si>
    <t>the cost are in € per kw gor H&amp;W</t>
  </si>
  <si>
    <t>Input</t>
  </si>
  <si>
    <t>(geeft 50% van hot water in Belgie)</t>
  </si>
  <si>
    <t>RSDBDL</t>
  </si>
  <si>
    <t>Wood pellets boiler water heater</t>
  </si>
  <si>
    <t>Vintage</t>
  </si>
  <si>
    <t>Insulation technologies data are computed in the demproj.gms file with cost data in another file</t>
  </si>
  <si>
    <t>BDL101</t>
  </si>
  <si>
    <t>GASHP202</t>
  </si>
  <si>
    <t>LPGHP202</t>
  </si>
  <si>
    <t>This worksheet was reviewed at ESE unit of IET/JRC in Sep-Oct 2012</t>
  </si>
  <si>
    <t>by Nicolas Pardo-Garcia (GH30) and Miguel Anaya-Santiago (Trainee)</t>
  </si>
  <si>
    <t>The changes made are highlighted in blue</t>
  </si>
  <si>
    <t xml:space="preserve">The main reference for the changes is </t>
  </si>
  <si>
    <t xml:space="preserve">Pardo, N., Thiel, C. 2012. Evaluation of several measures to improve the energy efficiency and CO2 emission in the european single-family houses. Energy and Buildings Journal. 2012, VOL 49, pages 619-630 </t>
  </si>
  <si>
    <t>\I:</t>
  </si>
  <si>
    <t>QUALITY</t>
  </si>
  <si>
    <t>DESCRIPTION</t>
  </si>
  <si>
    <t>PLANT_REF_TEXT</t>
  </si>
  <si>
    <t>VERSION_REL</t>
  </si>
  <si>
    <t>VERSION_DESCR</t>
  </si>
  <si>
    <t>OPERATION_YEAR</t>
  </si>
  <si>
    <t>COUNTRY_ID</t>
  </si>
  <si>
    <t>YEAR</t>
  </si>
  <si>
    <t>CURR_YEAR</t>
  </si>
  <si>
    <t>CURR_YEAR_2</t>
  </si>
  <si>
    <t>CAP_COSTS</t>
  </si>
  <si>
    <t>LOW_CAP_COSTS</t>
  </si>
  <si>
    <t>HIGH_CAP_COSTS</t>
  </si>
  <si>
    <t>IEP_HEATING</t>
  </si>
  <si>
    <t>IEP_COOLING</t>
  </si>
  <si>
    <t>IEP_VENTILATION</t>
  </si>
  <si>
    <t>IEP_HOT_WATER</t>
  </si>
  <si>
    <t>IEP_LIGHT</t>
  </si>
  <si>
    <t>NR_OF_STAFF</t>
  </si>
  <si>
    <t>AVG_GROSS_SALARY</t>
  </si>
  <si>
    <t>LEARN_RATE_FOM</t>
  </si>
  <si>
    <t>LEARN_RATE_CAPEX</t>
  </si>
  <si>
    <t>COP</t>
  </si>
  <si>
    <t>EL_CAPACITY</t>
  </si>
  <si>
    <t>AVG_TECH_LIFE</t>
  </si>
  <si>
    <t>ECON_LIFETIME</t>
  </si>
  <si>
    <t>MAINT_O_M_OF_CAPCOST</t>
  </si>
  <si>
    <t>VOM_COSTS_AT_REF_LOAD_ABS</t>
  </si>
  <si>
    <t>low</t>
  </si>
  <si>
    <t>Ground water-source electrically-driven heat pumps / residential</t>
  </si>
  <si>
    <t>21-jul-2014</t>
  </si>
  <si>
    <t>ETRI 2014</t>
  </si>
  <si>
    <t>EU27</t>
  </si>
  <si>
    <t>medium</t>
  </si>
  <si>
    <t>Ground - source electrically-driven heat pumps / residential</t>
  </si>
  <si>
    <t>Air - source electrically-driven heat pumps / residential</t>
  </si>
  <si>
    <t>Ground - source electrically-driven heat pumps / commercial</t>
  </si>
  <si>
    <t>Air - source electrically-driven heat pumps / commercial</t>
  </si>
  <si>
    <t>The costs down are too high:</t>
  </si>
  <si>
    <t>Comm-IN-A</t>
  </si>
  <si>
    <t>ELCHP203</t>
  </si>
  <si>
    <t>Air heat pump Electric</t>
  </si>
  <si>
    <t>Air heat pump Electric HeatCool</t>
  </si>
  <si>
    <t>Adv Air heat pump Electric HeatCool</t>
  </si>
  <si>
    <t>Ground heat pump Electric</t>
  </si>
  <si>
    <t>Ground heat pump Electric HeatCool</t>
  </si>
  <si>
    <t>Groundwater heat pump Electric Heat Cool</t>
  </si>
  <si>
    <t>FIXOM~2050</t>
  </si>
  <si>
    <t>INVCOST~2050</t>
  </si>
  <si>
    <t>Air heat pump Natural gas HeatCool</t>
  </si>
  <si>
    <t>GASHP401</t>
  </si>
  <si>
    <t>Groundwater heat pump with natural gas.HeatCool</t>
  </si>
  <si>
    <t>Air heat pump with natural gas HeatCool</t>
  </si>
  <si>
    <t>LPGHP401</t>
  </si>
  <si>
    <t>Air heat pump with LPG HeatCool</t>
  </si>
  <si>
    <t>Groundwater heat pump with LPG HeatCool</t>
  </si>
  <si>
    <t>Assumption based on</t>
  </si>
  <si>
    <t>A2W35</t>
  </si>
  <si>
    <t>B0W35</t>
  </si>
  <si>
    <t>W10W35</t>
  </si>
  <si>
    <t>Higher temperature</t>
  </si>
  <si>
    <t>Icing happens below 7° C</t>
  </si>
  <si>
    <t>Although same temperature, no icing</t>
  </si>
  <si>
    <t>This is air inlet temperature 2°C and water outlet temperature 35°C</t>
  </si>
  <si>
    <t>Bromine inlet temperature 0°C and water outlet 35°C</t>
  </si>
  <si>
    <t>Groundwater inlet 10°C and water outlet 35°C</t>
  </si>
  <si>
    <t>Ground heat pump Hor Electric HeatCool</t>
  </si>
  <si>
    <t>Ground heat pump Ver Electric HeatCool</t>
  </si>
  <si>
    <t>YES</t>
  </si>
  <si>
    <t>~FI_T:EUR13</t>
  </si>
  <si>
    <t>FIXOM~2020</t>
  </si>
  <si>
    <t>INVCOST~2020</t>
  </si>
  <si>
    <t>CHP</t>
  </si>
  <si>
    <t>CHPR</t>
  </si>
  <si>
    <t>HeatToPower</t>
  </si>
  <si>
    <t>VAROM</t>
  </si>
  <si>
    <t>Efficiency Electrical</t>
  </si>
  <si>
    <t>Efficiency Thermal</t>
  </si>
  <si>
    <t>FCGASPEM</t>
  </si>
  <si>
    <t>FCGASSOFC</t>
  </si>
  <si>
    <t>PEMFC</t>
  </si>
  <si>
    <t>SOFC</t>
  </si>
  <si>
    <t>R_ES-FL-SpHeat</t>
  </si>
  <si>
    <t>R_ES-DH-SpHeat</t>
  </si>
  <si>
    <t>R_ES-SD-SpHeat</t>
  </si>
  <si>
    <t>R_ES-DH-WatHeat</t>
  </si>
  <si>
    <t>R_ES-DH-SpCool</t>
  </si>
  <si>
    <t>R_ES-FL-WatHeat</t>
  </si>
  <si>
    <t>R_ES-FL-SpCool</t>
  </si>
  <si>
    <t>R_ES-SD-WatHeat</t>
  </si>
  <si>
    <t>R_ES-SD-SpCool</t>
  </si>
  <si>
    <t>FIXOM~2011</t>
  </si>
  <si>
    <t>INVCOST~2011</t>
  </si>
  <si>
    <t>R_ES-FL-Cook</t>
  </si>
  <si>
    <t>R_ES-DH-Cook</t>
  </si>
  <si>
    <t>R_ES-SD-Cook</t>
  </si>
  <si>
    <t>NR_ES-HO-SpHeat</t>
  </si>
  <si>
    <t>NR_ES-HO-WatHeat</t>
  </si>
  <si>
    <t>NR_ES-HO-SpCool</t>
  </si>
  <si>
    <t>NR_ES-HO-Cook</t>
  </si>
  <si>
    <t>NR_ES-HR-SpHeat</t>
  </si>
  <si>
    <t>NR_ES-HR-WatHeat</t>
  </si>
  <si>
    <t>NR_ES-HR-SpCool</t>
  </si>
  <si>
    <t>NR_ES-HR-Cook</t>
  </si>
  <si>
    <t>NR_ES-SR-SpHeat</t>
  </si>
  <si>
    <t>NR_ES-SR-WatHeat</t>
  </si>
  <si>
    <t>NR_ES-SR-SpCool</t>
  </si>
  <si>
    <t>NR_ES-SR-Cook</t>
  </si>
  <si>
    <t>NR_ES-SL-SpHeat</t>
  </si>
  <si>
    <t>NR_ES-SL-WatHeat</t>
  </si>
  <si>
    <t>NR_ES-SL-SpCool</t>
  </si>
  <si>
    <t>NR_ES-SL-Cook</t>
  </si>
  <si>
    <t>NR_ES-SS-SpHeat</t>
  </si>
  <si>
    <t>NR_ES-SS-WatHeat</t>
  </si>
  <si>
    <t>NR_ES-SS-SpCool</t>
  </si>
  <si>
    <t>NR_ES-SS-Cook</t>
  </si>
  <si>
    <t>NR_ES-OF-SpHeat</t>
  </si>
  <si>
    <t>NR_ES-OF-WatHeat</t>
  </si>
  <si>
    <t>NR_ES-OF-SpCool</t>
  </si>
  <si>
    <t>NR_ES-OF-Cook</t>
  </si>
  <si>
    <t>DH</t>
  </si>
  <si>
    <t>FL</t>
  </si>
  <si>
    <t>SD</t>
  </si>
  <si>
    <t>PRE</t>
  </si>
  <si>
    <t>000units</t>
  </si>
  <si>
    <t>Mm2-y</t>
  </si>
  <si>
    <t>Non Residential Building - Building lighting</t>
  </si>
  <si>
    <t>Mm2</t>
  </si>
  <si>
    <t>Non Residential Building - Building technologies</t>
  </si>
  <si>
    <t>Non Residential Building - ICT and multimedia</t>
  </si>
  <si>
    <t>000units-y</t>
  </si>
  <si>
    <t>Non Residential Building - Refrigeration</t>
  </si>
  <si>
    <t>Non Residential Building - Street lighting</t>
  </si>
  <si>
    <t>Non Residential Building - Ventilation etc.</t>
  </si>
  <si>
    <t>NRbldg_N-BuildLight</t>
  </si>
  <si>
    <t>NRbldg_N-BuildTech</t>
  </si>
  <si>
    <t>NRbldg_N-ICTM</t>
  </si>
  <si>
    <t>NRbldg_N-Refrig</t>
  </si>
  <si>
    <t>NRbldg_N-StLight</t>
  </si>
  <si>
    <t>NRbldg_N-Vent</t>
  </si>
  <si>
    <t>NR_BuildTech</t>
  </si>
  <si>
    <t>NR_ICTM</t>
  </si>
  <si>
    <t>NR_Refrig</t>
  </si>
  <si>
    <t>NR_StLight</t>
  </si>
  <si>
    <t>NR_Vent</t>
  </si>
  <si>
    <t>NR_BuildLight</t>
  </si>
  <si>
    <t>ACTFLO</t>
  </si>
  <si>
    <t>AFA</t>
  </si>
  <si>
    <t>Removed some very high CEFF values</t>
  </si>
  <si>
    <t>COMHET</t>
  </si>
  <si>
    <t>Residential biodiesel</t>
  </si>
  <si>
    <t>Detached</t>
  </si>
  <si>
    <t>Flat</t>
  </si>
  <si>
    <t>Semi-Detached</t>
  </si>
  <si>
    <t>Cooking electric stove</t>
  </si>
  <si>
    <t>Cooking gas stove</t>
  </si>
  <si>
    <t>Cooking LPG stove</t>
  </si>
  <si>
    <t>Hospital</t>
  </si>
  <si>
    <t>Hotels &amp; Restaurant</t>
  </si>
  <si>
    <t>Sport and Recreation</t>
  </si>
  <si>
    <t>Shop – Large (shopping malls)</t>
  </si>
  <si>
    <t>Shop – Small (shops)</t>
  </si>
  <si>
    <t>Offices (Offices, Schools/Universities, Museums etc)</t>
  </si>
  <si>
    <t>Residential Others</t>
  </si>
  <si>
    <t>Fuel cell - Technologies Commercial Heat/Water and ELC</t>
  </si>
  <si>
    <t>Other Electricity Appliances.</t>
  </si>
  <si>
    <t>Residenbtial Sector</t>
  </si>
  <si>
    <t>Commercial Hospitals</t>
  </si>
  <si>
    <t>Commercial Hotels &amp; Restaurants</t>
  </si>
  <si>
    <t>Commercial Offices (Offices, Schools/Universities, Museums etc)</t>
  </si>
  <si>
    <t>Commercial Shop – Small (shops)</t>
  </si>
  <si>
    <t>Based on small commercial sector from the old JET model</t>
  </si>
  <si>
    <t>Based on large commercial sector from the old JET model</t>
  </si>
  <si>
    <t xml:space="preserve"> Commercial Sport and Recreation</t>
  </si>
  <si>
    <t>Commercial Shop – Large (shopping malls)</t>
  </si>
  <si>
    <t>Meuro/'000units</t>
  </si>
  <si>
    <t>NEW</t>
  </si>
  <si>
    <t>OLD</t>
  </si>
  <si>
    <t>Check</t>
  </si>
  <si>
    <t>No Changes</t>
  </si>
  <si>
    <t>Description</t>
  </si>
  <si>
    <t>Not existing</t>
  </si>
  <si>
    <t>Changes</t>
  </si>
  <si>
    <t>Assumptions</t>
  </si>
  <si>
    <t>EFF=1, regionalised via trans file. No costs</t>
  </si>
  <si>
    <t>Watt per bulb</t>
  </si>
  <si>
    <t>Lumen/W</t>
  </si>
  <si>
    <t>Lumen/m2 (offices)</t>
  </si>
  <si>
    <t>bulbs/m2</t>
  </si>
  <si>
    <t>MEuro/000units</t>
  </si>
  <si>
    <t>MEuro/Mm2</t>
  </si>
  <si>
    <t>Equal to other equipments</t>
  </si>
  <si>
    <t>Efficiencies transformed via Trans file (by region). InvCosts adjusted -----&gt;</t>
  </si>
  <si>
    <t>MovedToSysSettings</t>
  </si>
  <si>
    <t>Original</t>
  </si>
  <si>
    <t>Changed (RDM: to make the tradeoff cost-eff more reasonable)</t>
  </si>
  <si>
    <t>RDM: OLD EFF.</t>
  </si>
  <si>
    <t>Existing Stock</t>
  </si>
  <si>
    <t>Residential Heat&amp;Cool database</t>
  </si>
  <si>
    <t>*Varom</t>
  </si>
  <si>
    <t>PrimaryCG</t>
  </si>
  <si>
    <t>*Units</t>
  </si>
  <si>
    <t>years</t>
  </si>
  <si>
    <t>Variable O&amp;M (€/GJ)</t>
  </si>
  <si>
    <t>*Process Set Membership</t>
  </si>
  <si>
    <t>Technology Name</t>
  </si>
  <si>
    <t>Technology Description</t>
  </si>
  <si>
    <t>Activity Unit</t>
  </si>
  <si>
    <t>Capacity Unit</t>
  </si>
  <si>
    <t>Primary CommGrp</t>
  </si>
  <si>
    <t>*DH</t>
  </si>
  <si>
    <t>*DH-70</t>
  </si>
  <si>
    <t>*SD</t>
  </si>
  <si>
    <t>*FL</t>
  </si>
  <si>
    <t>Residential</t>
  </si>
  <si>
    <t>Type</t>
  </si>
  <si>
    <t>JET Code</t>
  </si>
  <si>
    <t>JET Description</t>
  </si>
  <si>
    <t>Building type</t>
  </si>
  <si>
    <t>Database tech</t>
  </si>
  <si>
    <t>Input-A</t>
  </si>
  <si>
    <t>Output</t>
  </si>
  <si>
    <t>Former tech</t>
  </si>
  <si>
    <t>Former desc</t>
  </si>
  <si>
    <t>INVCOST~2030</t>
  </si>
  <si>
    <t>INVCOST~2040</t>
  </si>
  <si>
    <t>EFF~2020</t>
  </si>
  <si>
    <t>EFF~2030</t>
  </si>
  <si>
    <t>EFF~2040</t>
  </si>
  <si>
    <t>EFF~2050</t>
  </si>
  <si>
    <t>CEFF-Heat</t>
  </si>
  <si>
    <t>CEFF-Cool</t>
  </si>
  <si>
    <t>CEFF-Cool~2020</t>
  </si>
  <si>
    <t>CEFF-Cool~2030</t>
  </si>
  <si>
    <t>CEFF-Cool~2040</t>
  </si>
  <si>
    <t>CEFF-Cool~2050</t>
  </si>
  <si>
    <t>Share-O~SpHeat</t>
  </si>
  <si>
    <t>Share-O~WatHeat</t>
  </si>
  <si>
    <t>Share-O~SpCool</t>
  </si>
  <si>
    <t>CHPR~2020</t>
  </si>
  <si>
    <t>CHPR~2030</t>
  </si>
  <si>
    <t>Total EFF</t>
  </si>
  <si>
    <t>Total EFF~2020</t>
  </si>
  <si>
    <t>Total EFF~2030</t>
  </si>
  <si>
    <t>Corr factor</t>
  </si>
  <si>
    <t>Incl add costs?</t>
  </si>
  <si>
    <t>n of dwellings</t>
  </si>
  <si>
    <t>Notes</t>
  </si>
  <si>
    <t>Range Check~LO</t>
  </si>
  <si>
    <t>Range Check~UP</t>
  </si>
  <si>
    <t>*Detached pre70 (DH)</t>
  </si>
  <si>
    <t>Boiler</t>
  </si>
  <si>
    <t>R_ES-SH-DH_OIL01</t>
  </si>
  <si>
    <t>Oil/Biodiesel boiler condensing_SH-WH</t>
  </si>
  <si>
    <t>RSDOIL, RSDBDL</t>
  </si>
  <si>
    <t>R_ES-DH-SpHeat, R_ES-DH-WatHeat</t>
  </si>
  <si>
    <t>R_ES-SH-DH_OIL04</t>
  </si>
  <si>
    <t xml:space="preserve">Oil boiler condensing.HeatHotwater </t>
  </si>
  <si>
    <t>R_ES-SH-DH_OIL02</t>
  </si>
  <si>
    <t xml:space="preserve">Oil/Biodiesel boiler condensing + wt other techs_SH-WH </t>
  </si>
  <si>
    <t>R_ES-SH-DH_OIL05</t>
  </si>
  <si>
    <t xml:space="preserve">Solar collector with diesel backup.HeatHotwater  </t>
  </si>
  <si>
    <t xml:space="preserve">Backup for Oil boiler - Solar thermal_SH-WH </t>
  </si>
  <si>
    <t>Y</t>
  </si>
  <si>
    <t>Solar share 10-20 % (used 15%) as Gas+Solar</t>
  </si>
  <si>
    <t>Backup for Oil boiler - Wood stove_SH</t>
  </si>
  <si>
    <t>Added Storage costs (add. inv.)</t>
  </si>
  <si>
    <t>R_ES-SH-DH_GAS01</t>
  </si>
  <si>
    <t xml:space="preserve">Gas/LPG/Biogas boiler condensing_SH-WH </t>
  </si>
  <si>
    <t>RSDGAS, RSDLPG, RSDBGS</t>
  </si>
  <si>
    <t>R_ES-SH-DH_GAS05</t>
  </si>
  <si>
    <t xml:space="preserve">Natural gas boiler condensing.HeatHotwater  </t>
  </si>
  <si>
    <t>R_ES-SH-DH_GAS02</t>
  </si>
  <si>
    <t>Gas/LPG/Biogas boiler condensing + wt other techs_SH-WH</t>
  </si>
  <si>
    <t xml:space="preserve">Backup for Gas boiler - Solar thermal_SH-WH </t>
  </si>
  <si>
    <t xml:space="preserve">Solar share 10-20 % (used 15%). AddInv: Control unit that facilitates the operation </t>
  </si>
  <si>
    <t>Backup for Gas boiler - Wood stove_SH</t>
  </si>
  <si>
    <t>R_ES-SH-DH_BIO01</t>
  </si>
  <si>
    <t>Biomass boiler_SH-WH</t>
  </si>
  <si>
    <t>R_ES-SH-DH_BIO02</t>
  </si>
  <si>
    <t xml:space="preserve">Biomass stove </t>
  </si>
  <si>
    <t>R_ES-SH-DH_ELC01</t>
  </si>
  <si>
    <t>Electric boiler_SH-WH</t>
  </si>
  <si>
    <t xml:space="preserve">Electric radiators  </t>
  </si>
  <si>
    <t>Include both room heaters and hot tap water preparation</t>
  </si>
  <si>
    <t>Electric HP</t>
  </si>
  <si>
    <t>R_ES-SH-DH_ELC02</t>
  </si>
  <si>
    <t>Heat Pump Air-to-Air_SH</t>
  </si>
  <si>
    <t>R_ES-DH-SpHeat, R_ES-DH-SpCool</t>
  </si>
  <si>
    <t xml:space="preserve">Air heat pump Electric </t>
  </si>
  <si>
    <t>HP covers between 60 % and 80 % of the total space heating demand of a building</t>
  </si>
  <si>
    <t xml:space="preserve">Backup for Heat Pump Air-to-Air - Electric_SH-WH </t>
  </si>
  <si>
    <t xml:space="preserve">AddInv: shunt-valve. </t>
  </si>
  <si>
    <t xml:space="preserve">Backup for Heat Pump Air-to-Air - Natural Gas boiler_SH-WH </t>
  </si>
  <si>
    <t>RSDLPG, RSDBGS, RSDGAS</t>
  </si>
  <si>
    <t xml:space="preserve">Backup for Heat Pump Air-to-Air - Biomass boiler_SH-WH </t>
  </si>
  <si>
    <t xml:space="preserve">Backup for Heat Pump Air-to-Air - Solar thermal_SH-WH </t>
  </si>
  <si>
    <t>R_ES-SH-DH_ELC04</t>
  </si>
  <si>
    <t>Heat Pump Air-to-Water_SH-WH</t>
  </si>
  <si>
    <t>R_ES-SH-DH_ELC05</t>
  </si>
  <si>
    <t>Heat Pump Air-to-Water_SH-WH-SC</t>
  </si>
  <si>
    <t>R_ES-DH-SpHeat, R_ES-DH-WatHeat, R_ES-DH-SpCool</t>
  </si>
  <si>
    <t>R_ES-SH-DH_ELC06</t>
  </si>
  <si>
    <t>Heat Pump Ground Source Horizontal_SH-WH</t>
  </si>
  <si>
    <t>R_ES-SH-DH_ELC07</t>
  </si>
  <si>
    <t>Heat Pump Ground Source Horizontal_SH-WH-SC</t>
  </si>
  <si>
    <t>R_ES-SH-DH_ELC08</t>
  </si>
  <si>
    <t>Heat Pump Ground Source Vertical_SH-WH</t>
  </si>
  <si>
    <t>Dominated tech by horizontal tech</t>
  </si>
  <si>
    <t>R_ES-SH-DH_ELC09</t>
  </si>
  <si>
    <t>Heat Pump Ground Source Vertical_SH-WH-SC</t>
  </si>
  <si>
    <t xml:space="preserve">Ground heat pump Ver Electric HeatCool </t>
  </si>
  <si>
    <t>R_ES-SH-DH_ELC10</t>
  </si>
  <si>
    <t>Heat Pump Groundwater_SH-WH</t>
  </si>
  <si>
    <t>Drilling costs &amp; heat exchanger</t>
  </si>
  <si>
    <t>R_ES-SH-DH_ELC11</t>
  </si>
  <si>
    <t>Heat Pump Groundwater_SH-WH-SC</t>
  </si>
  <si>
    <t xml:space="preserve">Groundwater heat pump Electric Heat Cool </t>
  </si>
  <si>
    <t>GHP</t>
  </si>
  <si>
    <t>R_ES-SH-DH_GAS03</t>
  </si>
  <si>
    <t>Gas/LPG-driven Heat Pump absorption Air-to-Water_SH-WH</t>
  </si>
  <si>
    <t>R_ES-SH-DH_GAS06</t>
  </si>
  <si>
    <t xml:space="preserve">Air heat pump with natural gas HeatCool </t>
  </si>
  <si>
    <t>R_ES-SH-DH_GAS04</t>
  </si>
  <si>
    <t>Gas/LPG-driven Heat Pump absorption Air-to-Water_SH-WH-SC</t>
  </si>
  <si>
    <t>Gas/LPG-driven Heat Pump absorption brine to water + Solar th collectors_SH-WH</t>
  </si>
  <si>
    <t>Gas/LPG-driven Heat Pump absorption brine to water + Solar th collectors_SH-WH-SC</t>
  </si>
  <si>
    <t>R_ES-SH-DH_GAS07</t>
  </si>
  <si>
    <t>Gas/LPG-driven Heat Pump engine Air-to-Water_SH-WH</t>
  </si>
  <si>
    <t>Data missing. NE data used</t>
  </si>
  <si>
    <t>R_ES-SH-DH_GAS08</t>
  </si>
  <si>
    <t>Gas/LPG-driven Heat Pump engine Air-to-Water_SH-WH-SC</t>
  </si>
  <si>
    <t>R_ES-CHP-DH_GAS01</t>
  </si>
  <si>
    <t xml:space="preserve">CHP engines – Natural Gas micro turbine </t>
  </si>
  <si>
    <t>n/a</t>
  </si>
  <si>
    <t>R_ES-CHP-DH_OIL01</t>
  </si>
  <si>
    <t>CHP engines – Diesel micro turbine</t>
  </si>
  <si>
    <t>R_ES-CHP-DH_GAS02</t>
  </si>
  <si>
    <t>CHP engines – Natural Gas internal combustion engine</t>
  </si>
  <si>
    <t>The mechanical (or electrical) efficiency of a gas engine is around 20 % as annual average for micro-CHP units and 28-36 % for mini CHP units. The combined efficiency (electricity and heat) is on the level of 80-90 %.</t>
  </si>
  <si>
    <t>R_ES-CHP-DH_OIL02</t>
  </si>
  <si>
    <t xml:space="preserve">CHP engines – Diesel internal combustion engine </t>
  </si>
  <si>
    <t>R_ES-CHP-DH_GAS03</t>
  </si>
  <si>
    <t>CHP engines – Stirling engine</t>
  </si>
  <si>
    <t>typically combined with a condensing natural gas boiler for peak loads</t>
  </si>
  <si>
    <t>R_ES-CHP-DH_GAS04</t>
  </si>
  <si>
    <t>CHP fuel cells – Natural Gas fuel cell</t>
  </si>
  <si>
    <t>Includes auxiliary boiler and storage (also for tap water). The micro CHP unit will cover approx. 50-70 % of the total heat demand (from NE)</t>
  </si>
  <si>
    <t>R_ES-CHP-DH_HH201</t>
  </si>
  <si>
    <t>CHP fuel cells – Hydrogen fuel cell</t>
  </si>
  <si>
    <t>The micro CHP unit will cover approx. 50-70 % of the total heat demand. The remaining part should be supplied from a supplementary heater/burner. Electroliser EFF not included (from NE)</t>
  </si>
  <si>
    <t>Backup for CHPs - Natural Gas boiler</t>
  </si>
  <si>
    <t>Backup for CHPs - Oil boiler</t>
  </si>
  <si>
    <t>RSDBDL, RSDOIL</t>
  </si>
  <si>
    <t>*Detached post70 (DH-70)</t>
  </si>
  <si>
    <t>R_ES-SH-DH-70_OIL01</t>
  </si>
  <si>
    <t>DH-70</t>
  </si>
  <si>
    <t>R_ES-SH-DH-70_OIL02</t>
  </si>
  <si>
    <t>R_ES-DH-70-SpHeat</t>
  </si>
  <si>
    <t>R_ES-SH-DH-70_GAS01</t>
  </si>
  <si>
    <t>R_ES-SH-DH-70_GAS02</t>
  </si>
  <si>
    <t>R_ES-SH-DH-70_BIO01</t>
  </si>
  <si>
    <t>R_ES-SH-DH-70_ELC01</t>
  </si>
  <si>
    <t>R_ES-SH-DH-70_ELC02</t>
  </si>
  <si>
    <t>R_ES-SH-DH-70_ELC04</t>
  </si>
  <si>
    <t>R_ES-SH-DH-70_ELC05</t>
  </si>
  <si>
    <t>R_ES-SH-DH-70_ELC06</t>
  </si>
  <si>
    <t>R_ES-SH-DH-70_ELC07</t>
  </si>
  <si>
    <t>R_ES-SH-DH-70_ELC08</t>
  </si>
  <si>
    <t>R_ES-SH-DH-70_ELC09</t>
  </si>
  <si>
    <t>R_ES-SH-DH-70_ELC10</t>
  </si>
  <si>
    <t>R_ES-SH-DH-70_ELC11</t>
  </si>
  <si>
    <t>R_ES-SH-DH-70_GAS03</t>
  </si>
  <si>
    <t>R_ES-SH-DH-70_GAS04</t>
  </si>
  <si>
    <t>R_ES-SH-DH-70_GAS05</t>
  </si>
  <si>
    <t>R_ES-SH-DH-70_GAS06</t>
  </si>
  <si>
    <t>R_ES-SH-DH-70_GAS07</t>
  </si>
  <si>
    <t>R_ES-SH-DH-70_GAS08</t>
  </si>
  <si>
    <t>R_ES-CHP-DH-70_GAS01</t>
  </si>
  <si>
    <t>R_ES-CHP-DH-70_OIL01</t>
  </si>
  <si>
    <t xml:space="preserve">CHP engines – Diesel micro turbine </t>
  </si>
  <si>
    <t>R_ES-CHP-DH-70_GAS02</t>
  </si>
  <si>
    <t>R_ES-CHP-DH-70_OIL02</t>
  </si>
  <si>
    <t>R_ES-CHP-DH-70_GAS03</t>
  </si>
  <si>
    <t>R_ES-CHP-DH-70_GAS04</t>
  </si>
  <si>
    <t>R_ES-CHP-DH-70_HH201</t>
  </si>
  <si>
    <t>*Semidetached dwellings (SD)</t>
  </si>
  <si>
    <t>R_ES-SH-SD_OIL01</t>
  </si>
  <si>
    <t>R_ES-SD-SpHeat, R_ES-SD-WatHeat</t>
  </si>
  <si>
    <t>R_ES-SH-SD_OIL02</t>
  </si>
  <si>
    <t>R_ES-SH-SD_GAS01</t>
  </si>
  <si>
    <t>R_ES-SH-SD_GAS02</t>
  </si>
  <si>
    <t>R_ES-SH-SD_BIO01</t>
  </si>
  <si>
    <t>R_ES-SH-SD_ELC01</t>
  </si>
  <si>
    <t>R_ES-SH-SD_ELC02</t>
  </si>
  <si>
    <t>R_ES-SD-SpHeat, R_ES-SD-SpCool</t>
  </si>
  <si>
    <t>R_ES-SH-SD_ELC04</t>
  </si>
  <si>
    <t>R_ES-SH-SD_ELC05</t>
  </si>
  <si>
    <t>R_ES-SD-SpHeat, R_ES-SD-WatHeat, R_ES-SD-SpCool</t>
  </si>
  <si>
    <t>R_ES-SH-SD_ELC06</t>
  </si>
  <si>
    <t>R_ES-SH-SD_ELC07</t>
  </si>
  <si>
    <t>R_ES-SH-SD_ELC08</t>
  </si>
  <si>
    <t>R_ES-SH-SD_ELC09</t>
  </si>
  <si>
    <t>R_ES-SH-SD_ELC10</t>
  </si>
  <si>
    <t>R_ES-SH-SD_ELC11</t>
  </si>
  <si>
    <t>R_ES-SH-SD_GAS03</t>
  </si>
  <si>
    <t>R_ES-SH-SD_GAS04</t>
  </si>
  <si>
    <t>R_ES-SH-SD_GAS05</t>
  </si>
  <si>
    <t>R_ES-SH-SD_GAS06</t>
  </si>
  <si>
    <t>R_ES-SH-SD_GAS07</t>
  </si>
  <si>
    <t>R_ES-SH-SD_GAS08</t>
  </si>
  <si>
    <t>R_ES-CHP-SD_GAS01</t>
  </si>
  <si>
    <t>R_ES-CHP-SD_OIL01</t>
  </si>
  <si>
    <t>R_ES-CHP-SD_GAS02</t>
  </si>
  <si>
    <t>R_ES-CHP-SD_OIL02</t>
  </si>
  <si>
    <t>R_ES-CHP-SD_GAS03</t>
  </si>
  <si>
    <t>R_ES-CHP-SD_GAS04</t>
  </si>
  <si>
    <t>R_ES-CHP-SD_HH201</t>
  </si>
  <si>
    <t>*Flats (FL)</t>
  </si>
  <si>
    <t>R_ES-SH-FL_OIL01</t>
  </si>
  <si>
    <t>R_ES-FL-SpHeat, R_ES-FL-WatHeat</t>
  </si>
  <si>
    <t>R_ES-SH-FL_OIL02</t>
  </si>
  <si>
    <t>R_ES-SH-FL_GAS01</t>
  </si>
  <si>
    <t>R_ES-SH-FL_GAS02</t>
  </si>
  <si>
    <t>R_ES-SH-FL_BIO01</t>
  </si>
  <si>
    <t>R_ES-SH-FL_ELC01</t>
  </si>
  <si>
    <t>R_ES-SH-FL_ELC02</t>
  </si>
  <si>
    <t>R_ES-FL-SpHeat, R_ES-FL-SpCool</t>
  </si>
  <si>
    <t>R_ES-SH-FL_ELC04</t>
  </si>
  <si>
    <t>R_ES-SH-FL_ELC05</t>
  </si>
  <si>
    <t>R_ES-FL-SpHeat, R_ES-FL-WatHeat, R_ES-FL-SpCool</t>
  </si>
  <si>
    <t>R_ES-SH-FL_ELC06</t>
  </si>
  <si>
    <t>R_ES-SH-FL_ELC07</t>
  </si>
  <si>
    <t>R_ES-SH-FL_ELC08</t>
  </si>
  <si>
    <t>R_ES-SH-FL_ELC09</t>
  </si>
  <si>
    <t>R_ES-SH-FL_ELC10</t>
  </si>
  <si>
    <t>R_ES-SH-FL_ELC11</t>
  </si>
  <si>
    <t>R_ES-SH-FL_GAS03</t>
  </si>
  <si>
    <t>R_ES-SH-FL_GAS04</t>
  </si>
  <si>
    <t>R_ES-SH-FL_GAS05</t>
  </si>
  <si>
    <t>R_ES-SH-FL_GAS06</t>
  </si>
  <si>
    <t>R_ES-SH-FL_GAS07</t>
  </si>
  <si>
    <t>R_ES-SH-FL_GAS08</t>
  </si>
  <si>
    <t>R_ES-CHP-FL_GAS01</t>
  </si>
  <si>
    <t>R_ES-CHP-FL_OIL01</t>
  </si>
  <si>
    <t>R_ES-CHP-FL_GAS02</t>
  </si>
  <si>
    <t>R_ES-CHP-FL_OIL02</t>
  </si>
  <si>
    <t>R_ES-CHP-FL_GAS03</t>
  </si>
  <si>
    <t>R_ES-CHP-FL_GAS04</t>
  </si>
  <si>
    <t>R_ES-CHP-FL_HH201</t>
  </si>
  <si>
    <t>HOB-oil</t>
  </si>
  <si>
    <t>Solar heating and hot tap water</t>
  </si>
  <si>
    <t>HOB-wood</t>
  </si>
  <si>
    <t>HOB-gas</t>
  </si>
  <si>
    <t>HOB-biomass</t>
  </si>
  <si>
    <t>Electric_electric boiler</t>
  </si>
  <si>
    <t>HP-e-air-to-air</t>
  </si>
  <si>
    <t>HP-e-air-to-water</t>
  </si>
  <si>
    <t>Heat pump, ground source</t>
  </si>
  <si>
    <t>HP-e-groundwater</t>
  </si>
  <si>
    <t>GHP – direct-fired absorption heat pump air/brine to water</t>
  </si>
  <si>
    <t>GHP – adsorption heat pump brine to water + Solar thermal collectors</t>
  </si>
  <si>
    <t>GHP – gas engine driven heat pump air/brine to water</t>
  </si>
  <si>
    <t>CHP engines – micro turbine</t>
  </si>
  <si>
    <t>CHP engines – internal combustion engine, natural gas</t>
  </si>
  <si>
    <t>CHP engines – internal combustion engine, diesel</t>
  </si>
  <si>
    <t>CHP fuel cells – natural gas fuel cell</t>
  </si>
  <si>
    <t>CHP fuel cells – hydrogen fuel cell</t>
  </si>
  <si>
    <t>HOB oil_large</t>
  </si>
  <si>
    <t>Solar heating and hot tap water_large</t>
  </si>
  <si>
    <t>HOB-gas_large</t>
  </si>
  <si>
    <t>HOB-biomass_large</t>
  </si>
  <si>
    <t>Electric_electric boiler_large</t>
  </si>
  <si>
    <t>HP-e-air-to-air_large</t>
  </si>
  <si>
    <t>HP-e-air-to-water_large</t>
  </si>
  <si>
    <t>Heat pump, ground source_large</t>
  </si>
  <si>
    <t>HP-e-groundwater_large</t>
  </si>
  <si>
    <t>GHP – absorption heat pump air/brine to water_large</t>
  </si>
  <si>
    <t>CHP engines – micro turbine_large</t>
  </si>
  <si>
    <t>CHP engines – internal combustion engine, natural gas_large</t>
  </si>
  <si>
    <t>CHP engines – Stirling engine_large</t>
  </si>
  <si>
    <t>*PRE</t>
  </si>
  <si>
    <t>DeActFI_T:EUR13</t>
  </si>
  <si>
    <t>suppl.</t>
  </si>
  <si>
    <t>R_ES-CHP-DH-GASspl</t>
  </si>
  <si>
    <t>R_ES-CHP-DH-OILspl</t>
  </si>
  <si>
    <t>R_ES-CHP-DH-70-GASspl</t>
  </si>
  <si>
    <t>R_ES-CHP-DH-70-OILspl</t>
  </si>
  <si>
    <t>*suppl.</t>
  </si>
  <si>
    <t>R_ES-CHP-FL-GASspl</t>
  </si>
  <si>
    <t>R_ES-CHP-FL-OILspl</t>
  </si>
  <si>
    <t>INVCOST (€/unit)</t>
  </si>
  <si>
    <t>FIXOM (€/unit-y)</t>
  </si>
  <si>
    <t>VAROM (€/GJ)</t>
  </si>
  <si>
    <t>CEFF~R_ES-DH-SpHeat</t>
  </si>
  <si>
    <t>CEFF~R_ES-DH-SpCool</t>
  </si>
  <si>
    <t>CEFF~R_ES-DH-WatHeat</t>
  </si>
  <si>
    <t>RSDELC, R_ES-DH-SpHeat,R_ES-DH-WatHeat</t>
  </si>
  <si>
    <t>RSDELC, R_ES-SD-SpHeat,R_ES-SD-WatHeat</t>
  </si>
  <si>
    <t>RSDELC, R_ES-FL-SpHeat,R_ES-FL-WatHeat</t>
  </si>
  <si>
    <t>CEFF~R_ES-DH-70-SpHeat</t>
  </si>
  <si>
    <t>CEFF~R_ES-DH-70-SpCool</t>
  </si>
  <si>
    <t>CEFF~R_ES-SD-SpHeat</t>
  </si>
  <si>
    <t>CEFF~R_ES-SD-SpCool</t>
  </si>
  <si>
    <t>CEFF~R_ES-SD-WatHeat</t>
  </si>
  <si>
    <t>CEFF~R_ES-FL-SpHeat</t>
  </si>
  <si>
    <t>CEFF~R_ES-FL-SpCool</t>
  </si>
  <si>
    <t>CEFF~R_ES-FL-WatHeat</t>
  </si>
  <si>
    <t>CEFF~R_ES-DH-Watheat</t>
  </si>
  <si>
    <t>R_ES-DH-70-SpHeat, R_ES-DH-Watheat</t>
  </si>
  <si>
    <t>RSDELC, R_ES-DH-70-SpHeat,R_ES-DH-Watheat</t>
  </si>
  <si>
    <t>R_ES-DH-70-SpHeat, R_ES-DH-Spcool</t>
  </si>
  <si>
    <t>R_ES-DH-70-SpHeat, R_ES-DH-Watheat, R_ES-DH-SpCool</t>
  </si>
  <si>
    <t>M_appliances-y</t>
  </si>
  <si>
    <t>M_appliances</t>
  </si>
  <si>
    <t>Residential District Heating</t>
  </si>
  <si>
    <t/>
  </si>
  <si>
    <t>R_ES-SH-DH_HET01</t>
  </si>
  <si>
    <t>R_ES-SH-DH-70_HET01</t>
  </si>
  <si>
    <t>R_ES-SH-SD_HET01</t>
  </si>
  <si>
    <t>R_ES-SH-FL_HET01</t>
  </si>
  <si>
    <t>DistrictH_Substation_SH-WH (DH)</t>
  </si>
  <si>
    <t>DistrictH_Substation_SH-WH (DH-70)</t>
  </si>
  <si>
    <t>DistrictH_Substation_SH-WH (SD)</t>
  </si>
  <si>
    <t>DistrictH_Substation_SH-WH (FL)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</si>
</sst>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\Te\x\t"/>
    <numFmt numFmtId="168" formatCode="_([$€]* #,##0.00_);_([$€]* \(#,##0.00\);_([$€]* &quot;-&quot;??_);_(@_)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6"/>
      <color theme="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FF0000"/>
      <name val="Cambria"/>
      <family val="1"/>
    </font>
    <font>
      <i/>
      <sz val="11"/>
      <color theme="1"/>
      <name val="Cambria"/>
      <family val="1"/>
    </font>
    <font>
      <b/>
      <sz val="11"/>
      <color rgb="FFFF0000"/>
      <name val="Cambria"/>
      <family val="1"/>
    </font>
    <font>
      <sz val="11"/>
      <name val="Cambria"/>
      <family val="1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7" fillId="0" borderId="0" applyNumberFormat="0" applyFont="0" applyFill="0" applyBorder="0" applyProtection="0">
      <alignment horizontal="left" vertical="center" indent="5"/>
    </xf>
    <xf numFmtId="4" fontId="20" fillId="2" borderId="1">
      <alignment horizontal="right" vertical="center"/>
    </xf>
    <xf numFmtId="4" fontId="20" fillId="2" borderId="1">
      <alignment horizontal="right" vertical="center"/>
    </xf>
    <xf numFmtId="0" fontId="21" fillId="0" borderId="2">
      <alignment horizontal="left" vertical="center" wrapText="1" indent="2"/>
    </xf>
    <xf numFmtId="168" fontId="7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" fontId="21" fillId="0" borderId="0" applyBorder="0">
      <alignment horizontal="right" vertical="center"/>
    </xf>
    <xf numFmtId="0" fontId="15" fillId="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25" fillId="0" borderId="0"/>
    <xf numFmtId="4" fontId="21" fillId="0" borderId="1" applyFill="0" applyBorder="0" applyProtection="0">
      <alignment horizontal="right" vertical="center"/>
    </xf>
    <xf numFmtId="0" fontId="22" fillId="0" borderId="0" applyNumberFormat="0" applyFill="0" applyBorder="0" applyProtection="0">
      <alignment horizontal="left" vertical="center"/>
    </xf>
    <xf numFmtId="0" fontId="7" fillId="4" borderId="0" applyNumberFormat="0" applyFont="0" applyBorder="0" applyAlignment="0" applyProtection="0"/>
    <xf numFmtId="0" fontId="4" fillId="0" borderId="0"/>
    <xf numFmtId="0" fontId="16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" fontId="21" fillId="0" borderId="0"/>
    <xf numFmtId="9" fontId="4" fillId="0" borderId="0" applyFont="0" applyFill="0" applyBorder="0" applyAlignment="0" applyProtection="0"/>
    <xf numFmtId="0" fontId="33" fillId="18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99">
    <xf numFmtId="0" fontId="0" fillId="0" borderId="0" xfId="0"/>
    <xf numFmtId="0" fontId="5" fillId="0" borderId="0" xfId="0" quotePrefix="1" applyFont="1" applyFill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7" fillId="5" borderId="3" xfId="27" applyFont="1" applyFill="1" applyBorder="1" applyAlignment="1">
      <alignment horizontal="left"/>
    </xf>
    <xf numFmtId="0" fontId="7" fillId="5" borderId="3" xfId="27" applyFont="1" applyFill="1" applyBorder="1" applyAlignment="1">
      <alignment horizontal="left" wrapText="1"/>
    </xf>
    <xf numFmtId="164" fontId="7" fillId="5" borderId="3" xfId="27" applyNumberFormat="1" applyFont="1" applyFill="1" applyBorder="1" applyAlignment="1">
      <alignment horizontal="center" vertical="center" wrapText="1"/>
    </xf>
    <xf numFmtId="0" fontId="7" fillId="5" borderId="3" xfId="27" applyFont="1" applyFill="1" applyBorder="1" applyAlignment="1">
      <alignment horizontal="center" vertical="center" wrapText="1"/>
    </xf>
    <xf numFmtId="164" fontId="7" fillId="5" borderId="3" xfId="27" applyNumberFormat="1" applyFont="1" applyFill="1" applyBorder="1" applyAlignment="1">
      <alignment horizontal="right" vertical="center" wrapText="1"/>
    </xf>
    <xf numFmtId="165" fontId="7" fillId="5" borderId="3" xfId="27" applyNumberFormat="1" applyFont="1" applyFill="1" applyBorder="1" applyAlignment="1">
      <alignment horizontal="right" vertical="center" wrapText="1"/>
    </xf>
    <xf numFmtId="0" fontId="7" fillId="5" borderId="3" xfId="27" applyFont="1" applyFill="1" applyBorder="1" applyAlignment="1">
      <alignment horizontal="right" vertical="center" wrapText="1"/>
    </xf>
    <xf numFmtId="0" fontId="0" fillId="6" borderId="0" xfId="0" applyFill="1"/>
    <xf numFmtId="0" fontId="0" fillId="7" borderId="0" xfId="0" applyFill="1"/>
    <xf numFmtId="0" fontId="0" fillId="0" borderId="0" xfId="0" applyFill="1"/>
    <xf numFmtId="0" fontId="8" fillId="0" borderId="4" xfId="0" quotePrefix="1" applyFont="1" applyBorder="1"/>
    <xf numFmtId="2" fontId="0" fillId="0" borderId="0" xfId="0" applyNumberFormat="1" applyAlignment="1">
      <alignment horizontal="center"/>
    </xf>
    <xf numFmtId="0" fontId="0" fillId="8" borderId="0" xfId="0" applyFill="1"/>
    <xf numFmtId="1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7" fillId="0" borderId="0" xfId="0" applyFont="1" applyFill="1"/>
    <xf numFmtId="0" fontId="7" fillId="0" borderId="0" xfId="0" applyFont="1" applyFill="1" applyBorder="1"/>
    <xf numFmtId="0" fontId="7" fillId="0" borderId="0" xfId="27" applyFont="1" applyFill="1"/>
    <xf numFmtId="166" fontId="7" fillId="0" borderId="0" xfId="27" applyNumberFormat="1" applyFont="1" applyFill="1" applyBorder="1" applyAlignment="1">
      <alignment horizontal="right"/>
    </xf>
    <xf numFmtId="0" fontId="7" fillId="0" borderId="0" xfId="27" applyFont="1" applyFill="1" applyAlignment="1">
      <alignment horizontal="left"/>
    </xf>
    <xf numFmtId="166" fontId="7" fillId="0" borderId="0" xfId="0" applyNumberFormat="1" applyFont="1" applyFill="1"/>
    <xf numFmtId="0" fontId="7" fillId="0" borderId="0" xfId="0" applyFont="1"/>
    <xf numFmtId="0" fontId="10" fillId="0" borderId="0" xfId="0" applyFont="1" applyFill="1"/>
    <xf numFmtId="0" fontId="0" fillId="0" borderId="0" xfId="0" quotePrefix="1"/>
    <xf numFmtId="0" fontId="4" fillId="0" borderId="0" xfId="27"/>
    <xf numFmtId="0" fontId="4" fillId="0" borderId="0" xfId="27" applyFill="1"/>
    <xf numFmtId="0" fontId="4" fillId="0" borderId="0" xfId="27" applyFill="1" applyAlignment="1">
      <alignment vertical="center"/>
    </xf>
    <xf numFmtId="0" fontId="6" fillId="0" borderId="0" xfId="0" applyFont="1" applyAlignment="1">
      <alignment wrapText="1"/>
    </xf>
    <xf numFmtId="164" fontId="0" fillId="0" borderId="0" xfId="0" applyNumberFormat="1" applyFill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9" fontId="0" fillId="0" borderId="0" xfId="0" applyNumberFormat="1"/>
    <xf numFmtId="0" fontId="7" fillId="0" borderId="0" xfId="27" applyFont="1" applyFill="1" applyBorder="1" applyAlignment="1">
      <alignment horizontal="left" vertical="center"/>
    </xf>
    <xf numFmtId="0" fontId="7" fillId="0" borderId="0" xfId="27" applyFont="1" applyFill="1" applyBorder="1" applyAlignment="1">
      <alignment horizontal="left" vertical="center" wrapText="1"/>
    </xf>
    <xf numFmtId="164" fontId="7" fillId="0" borderId="0" xfId="27" applyNumberFormat="1" applyFont="1" applyFill="1" applyBorder="1" applyAlignment="1">
      <alignment horizontal="center" vertical="center" wrapText="1"/>
    </xf>
    <xf numFmtId="0" fontId="7" fillId="0" borderId="0" xfId="27" applyFont="1" applyFill="1" applyBorder="1" applyAlignment="1">
      <alignment horizontal="center" vertical="center" wrapText="1"/>
    </xf>
    <xf numFmtId="164" fontId="7" fillId="0" borderId="0" xfId="27" applyNumberFormat="1" applyFont="1" applyFill="1" applyBorder="1" applyAlignment="1">
      <alignment horizontal="right" vertical="center" wrapText="1"/>
    </xf>
    <xf numFmtId="165" fontId="7" fillId="0" borderId="0" xfId="27" applyNumberFormat="1" applyFont="1" applyFill="1" applyBorder="1" applyAlignment="1">
      <alignment horizontal="right" vertical="center" wrapText="1"/>
    </xf>
    <xf numFmtId="0" fontId="7" fillId="0" borderId="0" xfId="27" applyFont="1" applyFill="1" applyBorder="1" applyAlignment="1">
      <alignment horizontal="right" vertical="center" wrapText="1"/>
    </xf>
    <xf numFmtId="2" fontId="7" fillId="0" borderId="0" xfId="27" applyNumberFormat="1" applyFont="1" applyFill="1" applyBorder="1" applyAlignment="1">
      <alignment horizontal="center" vertical="center" wrapText="1"/>
    </xf>
    <xf numFmtId="0" fontId="4" fillId="0" borderId="0" xfId="27" applyFont="1" applyFill="1" applyAlignment="1">
      <alignment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 applyFill="1"/>
    <xf numFmtId="164" fontId="0" fillId="6" borderId="0" xfId="0" applyNumberFormat="1" applyFill="1"/>
    <xf numFmtId="2" fontId="0" fillId="0" borderId="0" xfId="0" applyNumberFormat="1" applyFill="1"/>
    <xf numFmtId="0" fontId="0" fillId="9" borderId="0" xfId="0" applyFill="1"/>
    <xf numFmtId="0" fontId="14" fillId="0" borderId="0" xfId="0" applyFont="1"/>
    <xf numFmtId="0" fontId="0" fillId="0" borderId="0" xfId="0" applyFill="1" applyBorder="1"/>
    <xf numFmtId="2" fontId="7" fillId="10" borderId="0" xfId="27" applyNumberFormat="1" applyFont="1" applyFill="1" applyBorder="1" applyAlignment="1">
      <alignment horizontal="right"/>
    </xf>
    <xf numFmtId="0" fontId="0" fillId="11" borderId="0" xfId="0" applyFill="1"/>
    <xf numFmtId="167" fontId="6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167" fontId="6" fillId="5" borderId="4" xfId="0" applyNumberFormat="1" applyFont="1" applyFill="1" applyBorder="1"/>
    <xf numFmtId="167" fontId="7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6" borderId="0" xfId="0" applyNumberFormat="1" applyFill="1"/>
    <xf numFmtId="1" fontId="14" fillId="0" borderId="0" xfId="0" applyNumberFormat="1" applyFont="1" applyFill="1"/>
    <xf numFmtId="1" fontId="0" fillId="0" borderId="0" xfId="0" applyNumberFormat="1" applyFill="1"/>
    <xf numFmtId="1" fontId="0" fillId="7" borderId="0" xfId="0" applyNumberFormat="1" applyFill="1"/>
    <xf numFmtId="1" fontId="14" fillId="6" borderId="0" xfId="0" applyNumberFormat="1" applyFont="1" applyFill="1"/>
    <xf numFmtId="1" fontId="0" fillId="6" borderId="0" xfId="0" applyNumberFormat="1" applyFill="1" applyAlignment="1">
      <alignment horizontal="right"/>
    </xf>
    <xf numFmtId="1" fontId="6" fillId="0" borderId="0" xfId="0" applyNumberFormat="1" applyFont="1" applyAlignment="1">
      <alignment horizontal="center" wrapText="1"/>
    </xf>
    <xf numFmtId="1" fontId="7" fillId="0" borderId="0" xfId="27" applyNumberFormat="1" applyFont="1" applyFill="1" applyBorder="1" applyAlignment="1">
      <alignment horizontal="right"/>
    </xf>
    <xf numFmtId="1" fontId="0" fillId="12" borderId="0" xfId="0" applyNumberFormat="1" applyFill="1"/>
    <xf numFmtId="0" fontId="7" fillId="8" borderId="0" xfId="0" applyFont="1" applyFill="1"/>
    <xf numFmtId="49" fontId="0" fillId="0" borderId="0" xfId="0" applyNumberFormat="1" applyFill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26" fillId="0" borderId="0" xfId="0" applyNumberFormat="1" applyFont="1" applyAlignment="1">
      <alignment horizontal="right" vertical="center"/>
    </xf>
    <xf numFmtId="2" fontId="26" fillId="0" borderId="0" xfId="0" applyNumberFormat="1" applyFont="1"/>
    <xf numFmtId="0" fontId="7" fillId="0" borderId="0" xfId="9"/>
    <xf numFmtId="0" fontId="7" fillId="13" borderId="0" xfId="9" applyFont="1" applyFill="1"/>
    <xf numFmtId="0" fontId="0" fillId="13" borderId="0" xfId="0" applyFill="1"/>
    <xf numFmtId="0" fontId="7" fillId="13" borderId="0" xfId="9" applyFill="1"/>
    <xf numFmtId="165" fontId="0" fillId="0" borderId="0" xfId="0" applyNumberFormat="1"/>
    <xf numFmtId="166" fontId="0" fillId="0" borderId="0" xfId="0" applyNumberFormat="1"/>
    <xf numFmtId="2" fontId="7" fillId="0" borderId="0" xfId="27" applyNumberFormat="1" applyFont="1" applyFill="1" applyBorder="1" applyAlignment="1">
      <alignment horizontal="right"/>
    </xf>
    <xf numFmtId="1" fontId="7" fillId="10" borderId="0" xfId="27" applyNumberFormat="1" applyFont="1" applyFill="1" applyBorder="1" applyAlignment="1">
      <alignment horizontal="right"/>
    </xf>
    <xf numFmtId="0" fontId="0" fillId="14" borderId="0" xfId="0" applyFill="1"/>
    <xf numFmtId="0" fontId="27" fillId="0" borderId="0" xfId="0" applyFont="1"/>
    <xf numFmtId="0" fontId="7" fillId="14" borderId="0" xfId="27" applyFont="1" applyFill="1" applyBorder="1" applyAlignment="1">
      <alignment horizontal="left" vertical="center" wrapText="1"/>
    </xf>
    <xf numFmtId="0" fontId="0" fillId="14" borderId="0" xfId="0" applyFill="1" applyAlignment="1">
      <alignment horizontal="center"/>
    </xf>
    <xf numFmtId="0" fontId="26" fillId="0" borderId="0" xfId="27" applyFont="1" applyFill="1" applyBorder="1" applyAlignment="1">
      <alignment horizontal="left" vertical="center"/>
    </xf>
    <xf numFmtId="167" fontId="28" fillId="0" borderId="0" xfId="0" applyNumberFormat="1" applyFont="1"/>
    <xf numFmtId="167" fontId="27" fillId="0" borderId="0" xfId="0" applyNumberFormat="1" applyFont="1"/>
    <xf numFmtId="0" fontId="0" fillId="15" borderId="0" xfId="0" applyFill="1"/>
    <xf numFmtId="167" fontId="9" fillId="16" borderId="4" xfId="0" quotePrefix="1" applyNumberFormat="1" applyFont="1" applyFill="1" applyBorder="1"/>
    <xf numFmtId="167" fontId="9" fillId="16" borderId="6" xfId="0" quotePrefix="1" applyNumberFormat="1" applyFont="1" applyFill="1" applyBorder="1"/>
    <xf numFmtId="167" fontId="9" fillId="16" borderId="0" xfId="0" quotePrefix="1" applyNumberFormat="1" applyFont="1" applyFill="1" applyBorder="1"/>
    <xf numFmtId="167" fontId="9" fillId="16" borderId="7" xfId="0" quotePrefix="1" applyNumberFormat="1" applyFont="1" applyFill="1" applyBorder="1"/>
    <xf numFmtId="0" fontId="0" fillId="0" borderId="6" xfId="0" applyBorder="1"/>
    <xf numFmtId="167" fontId="7" fillId="0" borderId="6" xfId="0" applyNumberFormat="1" applyFont="1" applyBorder="1"/>
    <xf numFmtId="167" fontId="7" fillId="0" borderId="5" xfId="0" applyNumberFormat="1" applyFont="1" applyBorder="1"/>
    <xf numFmtId="0" fontId="4" fillId="0" borderId="0" xfId="27" applyFont="1" applyFill="1" applyBorder="1"/>
    <xf numFmtId="0" fontId="4" fillId="0" borderId="0" xfId="27" applyFill="1" applyBorder="1"/>
    <xf numFmtId="0" fontId="8" fillId="0" borderId="0" xfId="0" quotePrefix="1" applyFont="1" applyBorder="1"/>
    <xf numFmtId="1" fontId="0" fillId="0" borderId="0" xfId="0" applyNumberFormat="1" applyAlignment="1">
      <alignment horizontal="center"/>
    </xf>
    <xf numFmtId="0" fontId="29" fillId="15" borderId="0" xfId="0" applyFont="1" applyFill="1"/>
    <xf numFmtId="167" fontId="9" fillId="0" borderId="0" xfId="0" quotePrefix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 vertical="center"/>
    </xf>
    <xf numFmtId="1" fontId="0" fillId="0" borderId="0" xfId="0" applyNumberFormat="1" applyFill="1" applyBorder="1"/>
    <xf numFmtId="2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14" borderId="6" xfId="0" applyFill="1" applyBorder="1"/>
    <xf numFmtId="165" fontId="26" fillId="0" borderId="0" xfId="0" applyNumberFormat="1" applyFont="1"/>
    <xf numFmtId="0" fontId="26" fillId="0" borderId="0" xfId="0" applyFont="1"/>
    <xf numFmtId="1" fontId="26" fillId="0" borderId="0" xfId="0" applyNumberFormat="1" applyFont="1"/>
    <xf numFmtId="0" fontId="26" fillId="0" borderId="0" xfId="0" applyFont="1" applyFill="1"/>
    <xf numFmtId="0" fontId="30" fillId="0" borderId="0" xfId="0" applyFont="1"/>
    <xf numFmtId="2" fontId="30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0" fontId="0" fillId="17" borderId="0" xfId="0" applyFill="1"/>
    <xf numFmtId="166" fontId="0" fillId="17" borderId="0" xfId="0" applyNumberFormat="1" applyFill="1"/>
    <xf numFmtId="2" fontId="0" fillId="0" borderId="0" xfId="0" applyNumberFormat="1" applyFill="1" applyBorder="1"/>
    <xf numFmtId="0" fontId="7" fillId="15" borderId="0" xfId="0" applyFont="1" applyFill="1"/>
    <xf numFmtId="164" fontId="0" fillId="15" borderId="0" xfId="0" applyNumberFormat="1" applyFill="1"/>
    <xf numFmtId="164" fontId="6" fillId="15" borderId="0" xfId="0" applyNumberFormat="1" applyFont="1" applyFill="1"/>
    <xf numFmtId="164" fontId="7" fillId="15" borderId="0" xfId="0" applyNumberFormat="1" applyFont="1" applyFill="1"/>
    <xf numFmtId="167" fontId="0" fillId="16" borderId="4" xfId="0" applyNumberFormat="1" applyFill="1" applyBorder="1"/>
    <xf numFmtId="167" fontId="0" fillId="0" borderId="6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16" borderId="0" xfId="0" applyNumberFormat="1" applyFill="1"/>
    <xf numFmtId="167" fontId="0" fillId="0" borderId="8" xfId="0" applyNumberFormat="1" applyBorder="1"/>
    <xf numFmtId="167" fontId="0" fillId="16" borderId="7" xfId="0" applyNumberFormat="1" applyFill="1" applyBorder="1"/>
    <xf numFmtId="167" fontId="0" fillId="16" borderId="6" xfId="0" applyNumberFormat="1" applyFill="1" applyBorder="1"/>
    <xf numFmtId="0" fontId="34" fillId="19" borderId="0" xfId="34" applyFont="1" applyFill="1"/>
    <xf numFmtId="0" fontId="3" fillId="19" borderId="0" xfId="34" applyFill="1"/>
    <xf numFmtId="0" fontId="3" fillId="0" borderId="0" xfId="34"/>
    <xf numFmtId="167" fontId="35" fillId="20" borderId="0" xfId="33" applyNumberFormat="1" applyFont="1" applyFill="1" applyAlignment="1">
      <alignment vertical="center"/>
    </xf>
    <xf numFmtId="167" fontId="31" fillId="5" borderId="9" xfId="34" applyNumberFormat="1" applyFont="1" applyFill="1" applyBorder="1" applyAlignment="1">
      <alignment vertical="center"/>
    </xf>
    <xf numFmtId="167" fontId="31" fillId="5" borderId="9" xfId="34" applyNumberFormat="1" applyFont="1" applyFill="1" applyBorder="1" applyAlignment="1">
      <alignment horizontal="center" vertical="center"/>
    </xf>
    <xf numFmtId="167" fontId="36" fillId="21" borderId="3" xfId="9" applyNumberFormat="1" applyFont="1" applyFill="1" applyBorder="1" applyAlignment="1">
      <alignment horizontal="left" vertical="center"/>
    </xf>
    <xf numFmtId="167" fontId="36" fillId="21" borderId="3" xfId="9" applyNumberFormat="1" applyFont="1" applyFill="1" applyBorder="1" applyAlignment="1">
      <alignment horizontal="center" vertical="center"/>
    </xf>
    <xf numFmtId="167" fontId="36" fillId="21" borderId="3" xfId="9" applyNumberFormat="1" applyFont="1" applyFill="1" applyBorder="1" applyAlignment="1">
      <alignment horizontal="center" vertical="center" wrapText="1"/>
    </xf>
    <xf numFmtId="0" fontId="3" fillId="0" borderId="0" xfId="34" applyBorder="1"/>
    <xf numFmtId="167" fontId="36" fillId="21" borderId="3" xfId="9" applyNumberFormat="1" applyFont="1" applyFill="1" applyBorder="1" applyAlignment="1">
      <alignment horizontal="left" vertical="center" wrapText="1"/>
    </xf>
    <xf numFmtId="0" fontId="32" fillId="16" borderId="0" xfId="34" applyFont="1" applyFill="1"/>
    <xf numFmtId="0" fontId="32" fillId="16" borderId="0" xfId="34" applyFont="1" applyFill="1" applyAlignment="1">
      <alignment horizontal="center"/>
    </xf>
    <xf numFmtId="0" fontId="3" fillId="0" borderId="0" xfId="34" applyAlignment="1">
      <alignment horizontal="center"/>
    </xf>
    <xf numFmtId="1" fontId="3" fillId="0" borderId="0" xfId="34" applyNumberFormat="1" applyAlignment="1">
      <alignment horizontal="center"/>
    </xf>
    <xf numFmtId="0" fontId="3" fillId="15" borderId="0" xfId="34" applyFill="1"/>
    <xf numFmtId="0" fontId="3" fillId="0" borderId="6" xfId="34" applyBorder="1"/>
    <xf numFmtId="0" fontId="3" fillId="0" borderId="6" xfId="34" applyBorder="1" applyAlignment="1">
      <alignment horizontal="center"/>
    </xf>
    <xf numFmtId="1" fontId="3" fillId="0" borderId="6" xfId="34" applyNumberFormat="1" applyBorder="1" applyAlignment="1">
      <alignment horizontal="center"/>
    </xf>
    <xf numFmtId="0" fontId="3" fillId="15" borderId="6" xfId="34" applyFill="1" applyBorder="1"/>
    <xf numFmtId="2" fontId="3" fillId="0" borderId="0" xfId="34" applyNumberFormat="1" applyAlignment="1">
      <alignment horizontal="center"/>
    </xf>
    <xf numFmtId="0" fontId="37" fillId="20" borderId="0" xfId="34" applyFont="1" applyFill="1"/>
    <xf numFmtId="0" fontId="38" fillId="0" borderId="0" xfId="34" applyFont="1"/>
    <xf numFmtId="3" fontId="38" fillId="0" borderId="0" xfId="34" applyNumberFormat="1" applyFont="1"/>
    <xf numFmtId="0" fontId="39" fillId="16" borderId="0" xfId="34" applyFont="1" applyFill="1"/>
    <xf numFmtId="0" fontId="38" fillId="0" borderId="0" xfId="34" applyFont="1" applyAlignment="1">
      <alignment vertical="center"/>
    </xf>
    <xf numFmtId="1" fontId="38" fillId="0" borderId="0" xfId="34" applyNumberFormat="1" applyFont="1"/>
    <xf numFmtId="9" fontId="38" fillId="0" borderId="0" xfId="35" applyFont="1"/>
    <xf numFmtId="0" fontId="38" fillId="0" borderId="0" xfId="34" applyFont="1" applyFill="1"/>
    <xf numFmtId="9" fontId="38" fillId="0" borderId="0" xfId="35" applyFont="1" applyFill="1"/>
    <xf numFmtId="0" fontId="38" fillId="0" borderId="0" xfId="34" applyFont="1" applyBorder="1"/>
    <xf numFmtId="1" fontId="38" fillId="0" borderId="0" xfId="34" applyNumberFormat="1" applyFont="1" applyBorder="1"/>
    <xf numFmtId="0" fontId="38" fillId="0" borderId="6" xfId="34" applyFont="1" applyBorder="1"/>
    <xf numFmtId="1" fontId="38" fillId="0" borderId="6" xfId="34" applyNumberFormat="1" applyFont="1" applyBorder="1"/>
    <xf numFmtId="9" fontId="38" fillId="0" borderId="6" xfId="35" applyFont="1" applyBorder="1"/>
    <xf numFmtId="1" fontId="38" fillId="0" borderId="0" xfId="34" applyNumberFormat="1" applyFont="1" applyFill="1"/>
    <xf numFmtId="1" fontId="40" fillId="0" borderId="0" xfId="34" applyNumberFormat="1" applyFont="1" applyFill="1"/>
    <xf numFmtId="2" fontId="38" fillId="0" borderId="0" xfId="35" applyNumberFormat="1" applyFont="1"/>
    <xf numFmtId="2" fontId="38" fillId="0" borderId="6" xfId="35" applyNumberFormat="1" applyFont="1" applyBorder="1"/>
    <xf numFmtId="9" fontId="43" fillId="0" borderId="0" xfId="35" applyFont="1" applyFill="1"/>
    <xf numFmtId="9" fontId="43" fillId="0" borderId="6" xfId="35" applyFont="1" applyFill="1" applyBorder="1"/>
    <xf numFmtId="9" fontId="40" fillId="0" borderId="0" xfId="35" applyFont="1" applyBorder="1"/>
    <xf numFmtId="2" fontId="38" fillId="0" borderId="0" xfId="35" applyNumberFormat="1" applyFont="1" applyBorder="1"/>
    <xf numFmtId="2" fontId="43" fillId="0" borderId="0" xfId="35" applyNumberFormat="1" applyFont="1"/>
    <xf numFmtId="9" fontId="40" fillId="0" borderId="0" xfId="35" applyFont="1" applyBorder="1" applyAlignment="1">
      <alignment vertical="center"/>
    </xf>
    <xf numFmtId="9" fontId="40" fillId="0" borderId="6" xfId="35" applyFont="1" applyBorder="1"/>
    <xf numFmtId="9" fontId="40" fillId="0" borderId="6" xfId="35" applyFont="1" applyBorder="1" applyAlignment="1">
      <alignment vertical="center"/>
    </xf>
    <xf numFmtId="1" fontId="38" fillId="23" borderId="0" xfId="34" applyNumberFormat="1" applyFont="1" applyFill="1" applyBorder="1"/>
    <xf numFmtId="1" fontId="38" fillId="23" borderId="6" xfId="34" applyNumberFormat="1" applyFont="1" applyFill="1" applyBorder="1"/>
    <xf numFmtId="1" fontId="40" fillId="0" borderId="0" xfId="34" applyNumberFormat="1" applyFont="1"/>
    <xf numFmtId="1" fontId="40" fillId="0" borderId="6" xfId="34" applyNumberFormat="1" applyFont="1" applyBorder="1"/>
    <xf numFmtId="0" fontId="43" fillId="0" borderId="0" xfId="34" applyFont="1" applyFill="1" applyBorder="1"/>
    <xf numFmtId="1" fontId="43" fillId="0" borderId="0" xfId="34" applyNumberFormat="1" applyFont="1" applyFill="1" applyBorder="1"/>
    <xf numFmtId="9" fontId="38" fillId="23" borderId="0" xfId="32" applyFont="1" applyFill="1" applyBorder="1"/>
    <xf numFmtId="9" fontId="38" fillId="23" borderId="6" xfId="32" applyFont="1" applyFill="1" applyBorder="1"/>
    <xf numFmtId="2" fontId="38" fillId="0" borderId="0" xfId="35" applyNumberFormat="1" applyFont="1" applyFill="1"/>
    <xf numFmtId="0" fontId="39" fillId="16" borderId="0" xfId="0" applyFont="1" applyFill="1"/>
    <xf numFmtId="0" fontId="38" fillId="0" borderId="0" xfId="0" applyFont="1" applyAlignment="1">
      <alignment vertical="center"/>
    </xf>
    <xf numFmtId="0" fontId="38" fillId="0" borderId="0" xfId="0" applyFont="1"/>
    <xf numFmtId="0" fontId="41" fillId="0" borderId="0" xfId="0" applyFont="1" applyAlignment="1">
      <alignment horizontal="right"/>
    </xf>
    <xf numFmtId="0" fontId="38" fillId="0" borderId="0" xfId="0" applyFont="1" applyFill="1"/>
    <xf numFmtId="0" fontId="38" fillId="0" borderId="0" xfId="0" applyFont="1" applyBorder="1" applyAlignment="1">
      <alignment vertical="center"/>
    </xf>
    <xf numFmtId="0" fontId="38" fillId="0" borderId="0" xfId="0" applyFont="1" applyBorder="1"/>
    <xf numFmtId="0" fontId="38" fillId="0" borderId="6" xfId="0" applyFont="1" applyBorder="1"/>
    <xf numFmtId="0" fontId="38" fillId="0" borderId="0" xfId="0" applyFont="1" applyFill="1" applyAlignment="1">
      <alignment vertical="center"/>
    </xf>
    <xf numFmtId="0" fontId="38" fillId="0" borderId="6" xfId="0" applyFont="1" applyFill="1" applyBorder="1"/>
    <xf numFmtId="0" fontId="38" fillId="0" borderId="0" xfId="0" applyFont="1" applyFill="1" applyBorder="1" applyAlignment="1">
      <alignment vertical="center"/>
    </xf>
    <xf numFmtId="0" fontId="41" fillId="0" borderId="6" xfId="0" applyFont="1" applyBorder="1" applyAlignment="1">
      <alignment horizontal="right"/>
    </xf>
    <xf numFmtId="0" fontId="41" fillId="0" borderId="0" xfId="0" applyFont="1" applyBorder="1" applyAlignment="1">
      <alignment horizontal="right"/>
    </xf>
    <xf numFmtId="0" fontId="38" fillId="0" borderId="0" xfId="0" applyFont="1" applyFill="1" applyBorder="1"/>
    <xf numFmtId="0" fontId="41" fillId="0" borderId="0" xfId="0" applyFont="1" applyFill="1" applyAlignment="1">
      <alignment horizontal="right"/>
    </xf>
    <xf numFmtId="0" fontId="39" fillId="23" borderId="0" xfId="0" applyFont="1" applyFill="1" applyAlignment="1">
      <alignment wrapText="1"/>
    </xf>
    <xf numFmtId="1" fontId="38" fillId="0" borderId="0" xfId="0" applyNumberFormat="1" applyFont="1"/>
    <xf numFmtId="3" fontId="38" fillId="0" borderId="0" xfId="0" applyNumberFormat="1" applyFont="1"/>
    <xf numFmtId="9" fontId="38" fillId="0" borderId="0" xfId="0" applyNumberFormat="1" applyFont="1"/>
    <xf numFmtId="1" fontId="40" fillId="0" borderId="0" xfId="0" applyNumberFormat="1" applyFont="1" applyAlignment="1">
      <alignment vertical="center"/>
    </xf>
    <xf numFmtId="3" fontId="38" fillId="0" borderId="0" xfId="0" applyNumberFormat="1" applyFont="1" applyAlignment="1">
      <alignment vertical="center"/>
    </xf>
    <xf numFmtId="3" fontId="38" fillId="0" borderId="0" xfId="0" applyNumberFormat="1" applyFont="1" applyFill="1"/>
    <xf numFmtId="0" fontId="38" fillId="0" borderId="0" xfId="0" applyFont="1" applyBorder="1" applyAlignment="1">
      <alignment wrapText="1"/>
    </xf>
    <xf numFmtId="1" fontId="38" fillId="0" borderId="0" xfId="0" applyNumberFormat="1" applyFont="1" applyBorder="1"/>
    <xf numFmtId="3" fontId="38" fillId="0" borderId="0" xfId="0" applyNumberFormat="1" applyFont="1" applyBorder="1"/>
    <xf numFmtId="9" fontId="38" fillId="0" borderId="0" xfId="0" applyNumberFormat="1" applyFont="1" applyBorder="1"/>
    <xf numFmtId="1" fontId="40" fillId="0" borderId="6" xfId="0" applyNumberFormat="1" applyFont="1" applyFill="1" applyBorder="1"/>
    <xf numFmtId="3" fontId="40" fillId="0" borderId="6" xfId="0" applyNumberFormat="1" applyFont="1" applyBorder="1"/>
    <xf numFmtId="9" fontId="38" fillId="0" borderId="6" xfId="0" applyNumberFormat="1" applyFont="1" applyFill="1" applyBorder="1"/>
    <xf numFmtId="1" fontId="38" fillId="0" borderId="0" xfId="0" applyNumberFormat="1" applyFont="1" applyFill="1"/>
    <xf numFmtId="3" fontId="40" fillId="0" borderId="0" xfId="0" applyNumberFormat="1" applyFont="1" applyFill="1"/>
    <xf numFmtId="2" fontId="38" fillId="0" borderId="0" xfId="0" applyNumberFormat="1" applyFont="1" applyFill="1"/>
    <xf numFmtId="9" fontId="38" fillId="0" borderId="0" xfId="0" applyNumberFormat="1" applyFont="1" applyFill="1"/>
    <xf numFmtId="0" fontId="42" fillId="0" borderId="0" xfId="0" applyFont="1" applyFill="1"/>
    <xf numFmtId="1" fontId="40" fillId="0" borderId="0" xfId="0" applyNumberFormat="1" applyFont="1" applyFill="1"/>
    <xf numFmtId="2" fontId="38" fillId="0" borderId="0" xfId="0" applyNumberFormat="1" applyFont="1" applyAlignment="1">
      <alignment vertical="center"/>
    </xf>
    <xf numFmtId="2" fontId="38" fillId="0" borderId="0" xfId="0" applyNumberFormat="1" applyFont="1"/>
    <xf numFmtId="2" fontId="38" fillId="0" borderId="0" xfId="0" applyNumberFormat="1" applyFont="1" applyFill="1" applyAlignment="1">
      <alignment vertical="center"/>
    </xf>
    <xf numFmtId="1" fontId="38" fillId="0" borderId="6" xfId="0" applyNumberFormat="1" applyFont="1" applyBorder="1"/>
    <xf numFmtId="3" fontId="38" fillId="0" borderId="6" xfId="0" applyNumberFormat="1" applyFont="1" applyBorder="1"/>
    <xf numFmtId="2" fontId="38" fillId="0" borderId="6" xfId="0" applyNumberFormat="1" applyFont="1" applyBorder="1"/>
    <xf numFmtId="1" fontId="43" fillId="0" borderId="0" xfId="0" applyNumberFormat="1" applyFont="1" applyFill="1"/>
    <xf numFmtId="2" fontId="43" fillId="0" borderId="0" xfId="0" applyNumberFormat="1" applyFont="1"/>
    <xf numFmtId="3" fontId="43" fillId="0" borderId="0" xfId="0" applyNumberFormat="1" applyFont="1" applyFill="1"/>
    <xf numFmtId="0" fontId="43" fillId="0" borderId="0" xfId="0" applyFont="1" applyFill="1"/>
    <xf numFmtId="9" fontId="43" fillId="0" borderId="0" xfId="0" applyNumberFormat="1" applyFont="1" applyFill="1"/>
    <xf numFmtId="0" fontId="43" fillId="0" borderId="0" xfId="0" applyFont="1" applyAlignment="1">
      <alignment vertical="center"/>
    </xf>
    <xf numFmtId="3" fontId="43" fillId="0" borderId="0" xfId="0" applyNumberFormat="1" applyFont="1" applyBorder="1"/>
    <xf numFmtId="9" fontId="43" fillId="0" borderId="0" xfId="35" applyFont="1" applyBorder="1"/>
    <xf numFmtId="2" fontId="43" fillId="0" borderId="0" xfId="0" applyNumberFormat="1" applyFont="1" applyAlignment="1">
      <alignment vertical="center"/>
    </xf>
    <xf numFmtId="9" fontId="43" fillId="0" borderId="0" xfId="35" applyFont="1"/>
    <xf numFmtId="9" fontId="43" fillId="0" borderId="0" xfId="35" applyFont="1" applyAlignment="1">
      <alignment vertical="center"/>
    </xf>
    <xf numFmtId="2" fontId="43" fillId="0" borderId="0" xfId="0" applyNumberFormat="1" applyFont="1" applyBorder="1" applyAlignment="1">
      <alignment vertical="center"/>
    </xf>
    <xf numFmtId="9" fontId="38" fillId="0" borderId="6" xfId="0" applyNumberFormat="1" applyFont="1" applyBorder="1"/>
    <xf numFmtId="2" fontId="43" fillId="0" borderId="6" xfId="0" applyNumberFormat="1" applyFont="1" applyBorder="1" applyAlignment="1">
      <alignment vertical="center"/>
    </xf>
    <xf numFmtId="1" fontId="38" fillId="23" borderId="0" xfId="0" applyNumberFormat="1" applyFont="1" applyFill="1" applyBorder="1"/>
    <xf numFmtId="3" fontId="38" fillId="23" borderId="0" xfId="0" applyNumberFormat="1" applyFont="1" applyFill="1" applyBorder="1"/>
    <xf numFmtId="9" fontId="38" fillId="23" borderId="0" xfId="35" applyFont="1" applyFill="1" applyBorder="1"/>
    <xf numFmtId="1" fontId="38" fillId="23" borderId="6" xfId="0" applyNumberFormat="1" applyFont="1" applyFill="1" applyBorder="1"/>
    <xf numFmtId="3" fontId="38" fillId="23" borderId="6" xfId="0" applyNumberFormat="1" applyFont="1" applyFill="1" applyBorder="1"/>
    <xf numFmtId="9" fontId="38" fillId="23" borderId="6" xfId="35" applyFont="1" applyFill="1" applyBorder="1"/>
    <xf numFmtId="165" fontId="38" fillId="23" borderId="0" xfId="0" applyNumberFormat="1" applyFont="1" applyFill="1" applyBorder="1"/>
    <xf numFmtId="165" fontId="38" fillId="23" borderId="6" xfId="0" applyNumberFormat="1" applyFont="1" applyFill="1" applyBorder="1"/>
    <xf numFmtId="0" fontId="38" fillId="24" borderId="0" xfId="0" applyFont="1" applyFill="1"/>
    <xf numFmtId="1" fontId="43" fillId="0" borderId="0" xfId="0" applyNumberFormat="1" applyFont="1" applyAlignment="1">
      <alignment vertical="center"/>
    </xf>
    <xf numFmtId="1" fontId="40" fillId="0" borderId="0" xfId="0" applyNumberFormat="1" applyFont="1" applyFill="1" applyAlignment="1">
      <alignment vertical="center"/>
    </xf>
    <xf numFmtId="0" fontId="38" fillId="24" borderId="0" xfId="0" applyFont="1" applyFill="1" applyBorder="1"/>
    <xf numFmtId="3" fontId="43" fillId="0" borderId="6" xfId="0" applyNumberFormat="1" applyFont="1" applyBorder="1"/>
    <xf numFmtId="0" fontId="38" fillId="24" borderId="6" xfId="0" applyFont="1" applyFill="1" applyBorder="1"/>
    <xf numFmtId="165" fontId="43" fillId="0" borderId="0" xfId="0" applyNumberFormat="1" applyFont="1" applyFill="1"/>
    <xf numFmtId="2" fontId="43" fillId="0" borderId="0" xfId="0" applyNumberFormat="1" applyFont="1" applyFill="1" applyAlignment="1">
      <alignment vertical="center"/>
    </xf>
    <xf numFmtId="2" fontId="43" fillId="0" borderId="0" xfId="0" applyNumberFormat="1" applyFont="1" applyFill="1"/>
    <xf numFmtId="0" fontId="43" fillId="0" borderId="0" xfId="0" applyFont="1" applyBorder="1"/>
    <xf numFmtId="3" fontId="43" fillId="0" borderId="0" xfId="0" applyNumberFormat="1" applyFont="1"/>
    <xf numFmtId="0" fontId="40" fillId="0" borderId="0" xfId="0" applyFont="1" applyFill="1"/>
    <xf numFmtId="9" fontId="38" fillId="0" borderId="0" xfId="0" applyNumberFormat="1" applyFont="1" applyFill="1" applyBorder="1"/>
    <xf numFmtId="1" fontId="38" fillId="0" borderId="0" xfId="0" applyNumberFormat="1" applyFont="1" applyFill="1" applyBorder="1"/>
    <xf numFmtId="9" fontId="38" fillId="0" borderId="0" xfId="35" applyFont="1" applyFill="1" applyBorder="1"/>
    <xf numFmtId="9" fontId="38" fillId="0" borderId="6" xfId="35" applyFont="1" applyFill="1" applyBorder="1"/>
    <xf numFmtId="1" fontId="38" fillId="0" borderId="6" xfId="0" applyNumberFormat="1" applyFont="1" applyFill="1" applyBorder="1"/>
    <xf numFmtId="9" fontId="43" fillId="0" borderId="6" xfId="0" applyNumberFormat="1" applyFont="1" applyFill="1" applyBorder="1"/>
    <xf numFmtId="9" fontId="43" fillId="0" borderId="0" xfId="0" applyNumberFormat="1" applyFont="1" applyFill="1" applyBorder="1"/>
    <xf numFmtId="9" fontId="38" fillId="0" borderId="0" xfId="32" applyFont="1"/>
    <xf numFmtId="9" fontId="38" fillId="0" borderId="0" xfId="32" applyFont="1" applyAlignment="1">
      <alignment vertical="center"/>
    </xf>
    <xf numFmtId="9" fontId="38" fillId="0" borderId="0" xfId="32" applyFont="1" applyFill="1" applyAlignment="1">
      <alignment vertical="center"/>
    </xf>
    <xf numFmtId="9" fontId="38" fillId="0" borderId="0" xfId="32" applyFont="1" applyFill="1"/>
    <xf numFmtId="9" fontId="38" fillId="0" borderId="0" xfId="32" applyFont="1" applyBorder="1"/>
    <xf numFmtId="9" fontId="38" fillId="0" borderId="6" xfId="32" applyFont="1" applyFill="1" applyBorder="1"/>
    <xf numFmtId="9" fontId="43" fillId="0" borderId="0" xfId="32" applyFont="1" applyFill="1"/>
    <xf numFmtId="9" fontId="38" fillId="0" borderId="6" xfId="32" applyFont="1" applyBorder="1"/>
    <xf numFmtId="0" fontId="39" fillId="22" borderId="0" xfId="34" applyFont="1" applyFill="1" applyAlignment="1">
      <alignment vertical="center"/>
    </xf>
    <xf numFmtId="0" fontId="39" fillId="23" borderId="0" xfId="0" applyFont="1" applyFill="1" applyAlignment="1">
      <alignment vertical="center"/>
    </xf>
    <xf numFmtId="0" fontId="39" fillId="23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5" fillId="15" borderId="0" xfId="0" quotePrefix="1" applyFont="1" applyFill="1" applyAlignment="1">
      <alignment horizontal="left"/>
    </xf>
    <xf numFmtId="0" fontId="2" fillId="15" borderId="0" xfId="34" applyFont="1" applyFill="1"/>
    <xf numFmtId="2" fontId="3" fillId="0" borderId="6" xfId="34" applyNumberFormat="1" applyBorder="1" applyAlignment="1">
      <alignment horizontal="center"/>
    </xf>
    <xf numFmtId="2" fontId="3" fillId="0" borderId="0" xfId="34" applyNumberFormat="1"/>
    <xf numFmtId="0" fontId="1" fillId="0" borderId="0" xfId="34" applyFont="1"/>
  </cellXfs>
  <cellStyles count="36">
    <cellStyle name="5x indented GHG Textfiels" xfId="1" xr:uid="{00000000-0005-0000-0000-000000000000}"/>
    <cellStyle name="Accent1" xfId="33" builtinId="29"/>
    <cellStyle name="AggOrange_CRFReport-template" xfId="2" xr:uid="{00000000-0005-0000-0000-000002000000}"/>
    <cellStyle name="AggOrange9_CRFReport-template" xfId="3" xr:uid="{00000000-0005-0000-0000-000003000000}"/>
    <cellStyle name="CustomizationCells" xfId="4" xr:uid="{00000000-0005-0000-0000-000004000000}"/>
    <cellStyle name="Euro" xfId="5" xr:uid="{00000000-0005-0000-0000-000005000000}"/>
    <cellStyle name="Hyperlink 2" xfId="6" xr:uid="{00000000-0005-0000-0000-000006000000}"/>
    <cellStyle name="InputCells" xfId="7" xr:uid="{00000000-0005-0000-0000-000007000000}"/>
    <cellStyle name="Neutral 2" xfId="8" xr:uid="{00000000-0005-0000-0000-000008000000}"/>
    <cellStyle name="Normal" xfId="0" builtinId="0"/>
    <cellStyle name="Normal 10" xfId="9" xr:uid="{00000000-0005-0000-0000-00000A000000}"/>
    <cellStyle name="Normal 2" xfId="10" xr:uid="{00000000-0005-0000-0000-00000B000000}"/>
    <cellStyle name="Normal 2 2" xfId="11" xr:uid="{00000000-0005-0000-0000-00000C000000}"/>
    <cellStyle name="Normal 2 3" xfId="12" xr:uid="{00000000-0005-0000-0000-00000D000000}"/>
    <cellStyle name="Normal 3" xfId="13" xr:uid="{00000000-0005-0000-0000-00000E000000}"/>
    <cellStyle name="Normal 3 2" xfId="14" xr:uid="{00000000-0005-0000-0000-00000F000000}"/>
    <cellStyle name="Normal 3 3" xfId="15" xr:uid="{00000000-0005-0000-0000-000010000000}"/>
    <cellStyle name="Normal 4" xfId="16" xr:uid="{00000000-0005-0000-0000-000011000000}"/>
    <cellStyle name="Normal 4 2" xfId="17" xr:uid="{00000000-0005-0000-0000-000012000000}"/>
    <cellStyle name="Normal 4 3" xfId="18" xr:uid="{00000000-0005-0000-0000-000013000000}"/>
    <cellStyle name="Normal 5" xfId="19" xr:uid="{00000000-0005-0000-0000-000014000000}"/>
    <cellStyle name="Normal 6" xfId="20" xr:uid="{00000000-0005-0000-0000-000015000000}"/>
    <cellStyle name="Normal 6 2" xfId="21" xr:uid="{00000000-0005-0000-0000-000016000000}"/>
    <cellStyle name="Normal 6 3" xfId="22" xr:uid="{00000000-0005-0000-0000-000017000000}"/>
    <cellStyle name="Normal 7" xfId="23" xr:uid="{00000000-0005-0000-0000-000018000000}"/>
    <cellStyle name="Normal 8" xfId="34" xr:uid="{00000000-0005-0000-0000-000019000000}"/>
    <cellStyle name="Normal GHG Numbers (0.00)" xfId="24" xr:uid="{00000000-0005-0000-0000-00001A000000}"/>
    <cellStyle name="Normal GHG Textfiels Bold" xfId="25" xr:uid="{00000000-0005-0000-0000-00001B000000}"/>
    <cellStyle name="Normal GHG-Shade" xfId="26" xr:uid="{00000000-0005-0000-0000-00001C000000}"/>
    <cellStyle name="Normal_SUBRES_B-NTech-BE" xfId="27" xr:uid="{00000000-0005-0000-0000-00001D000000}"/>
    <cellStyle name="Normale_B2020" xfId="28" xr:uid="{00000000-0005-0000-0000-00001E000000}"/>
    <cellStyle name="Percent" xfId="32" builtinId="5"/>
    <cellStyle name="Percent 2" xfId="29" xr:uid="{00000000-0005-0000-0000-000020000000}"/>
    <cellStyle name="Percent 3" xfId="30" xr:uid="{00000000-0005-0000-0000-000021000000}"/>
    <cellStyle name="Percent 4" xfId="35" xr:uid="{00000000-0005-0000-0000-000022000000}"/>
    <cellStyle name="Обычный_CRF2002 (1)" xfId="31" xr:uid="{00000000-0005-0000-0000-000023000000}"/>
  </cellStyles>
  <dxfs count="29"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1" displayName="List1" ref="A1:AB29" totalsRowShown="0" headerRowDxfId="28">
  <tableColumns count="28">
    <tableColumn id="98" xr3:uid="{00000000-0010-0000-0000-000062000000}" name="QUALITY" dataDxfId="27"/>
    <tableColumn id="1" xr3:uid="{00000000-0010-0000-0000-000001000000}" name="DESCRIPTION" dataDxfId="26"/>
    <tableColumn id="2" xr3:uid="{00000000-0010-0000-0000-000002000000}" name="PLANT_REF_TEXT" dataDxfId="25"/>
    <tableColumn id="3" xr3:uid="{00000000-0010-0000-0000-000003000000}" name="VERSION_REL" dataDxfId="24"/>
    <tableColumn id="4" xr3:uid="{00000000-0010-0000-0000-000004000000}" name="VERSION_DESCR" dataDxfId="23"/>
    <tableColumn id="7" xr3:uid="{00000000-0010-0000-0000-000007000000}" name="OPERATION_YEAR" dataDxfId="22"/>
    <tableColumn id="5" xr3:uid="{00000000-0010-0000-0000-000005000000}" name="COUNTRY_ID" dataDxfId="21"/>
    <tableColumn id="6" xr3:uid="{00000000-0010-0000-0000-000006000000}" name="YEAR" dataDxfId="20"/>
    <tableColumn id="8" xr3:uid="{00000000-0010-0000-0000-000008000000}" name="CURR_YEAR" dataDxfId="19"/>
    <tableColumn id="100" xr3:uid="{00000000-0010-0000-0000-000064000000}" name="CURR_YEAR_2" dataDxfId="18"/>
    <tableColumn id="9" xr3:uid="{00000000-0010-0000-0000-000009000000}" name="CAP_COSTS" dataDxfId="17"/>
    <tableColumn id="10" xr3:uid="{00000000-0010-0000-0000-00000A000000}" name="LOW_CAP_COSTS" dataDxfId="16"/>
    <tableColumn id="11" xr3:uid="{00000000-0010-0000-0000-00000B000000}" name="HIGH_CAP_COSTS" dataDxfId="15"/>
    <tableColumn id="12" xr3:uid="{00000000-0010-0000-0000-00000C000000}" name="IEP_HEATING" dataDxfId="14"/>
    <tableColumn id="13" xr3:uid="{00000000-0010-0000-0000-00000D000000}" name="IEP_COOLING" dataDxfId="13"/>
    <tableColumn id="14" xr3:uid="{00000000-0010-0000-0000-00000E000000}" name="IEP_VENTILATION" dataDxfId="12"/>
    <tableColumn id="15" xr3:uid="{00000000-0010-0000-0000-00000F000000}" name="IEP_HOT_WATER" dataDxfId="11"/>
    <tableColumn id="16" xr3:uid="{00000000-0010-0000-0000-000010000000}" name="IEP_LIGHT" dataDxfId="10"/>
    <tableColumn id="97" xr3:uid="{00000000-0010-0000-0000-000061000000}" name="NR_OF_STAFF" dataDxfId="9"/>
    <tableColumn id="96" xr3:uid="{00000000-0010-0000-0000-000060000000}" name="AVG_GROSS_SALARY" dataDxfId="8"/>
    <tableColumn id="17" xr3:uid="{00000000-0010-0000-0000-000011000000}" name="LEARN_RATE_FOM" dataDxfId="7"/>
    <tableColumn id="18" xr3:uid="{00000000-0010-0000-0000-000012000000}" name="LEARN_RATE_CAPEX" dataDxfId="6"/>
    <tableColumn id="19" xr3:uid="{00000000-0010-0000-0000-000013000000}" name="COP" dataDxfId="5"/>
    <tableColumn id="20" xr3:uid="{00000000-0010-0000-0000-000014000000}" name="EL_CAPACITY" dataDxfId="4"/>
    <tableColumn id="21" xr3:uid="{00000000-0010-0000-0000-000015000000}" name="AVG_TECH_LIFE" dataDxfId="3"/>
    <tableColumn id="22" xr3:uid="{00000000-0010-0000-0000-000016000000}" name="ECON_LIFETIME" dataDxfId="2"/>
    <tableColumn id="24" xr3:uid="{00000000-0010-0000-0000-000018000000}" name="MAINT_O_M_OF_CAPCOST" dataDxfId="1"/>
    <tableColumn id="26" xr3:uid="{00000000-0010-0000-0000-00001A000000}" name="VOM_COSTS_AT_REF_LOAD_AB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5"/>
  <sheetViews>
    <sheetView zoomScaleNormal="100" workbookViewId="0"/>
  </sheetViews>
  <sheetFormatPr defaultRowHeight="12.75" x14ac:dyDescent="0.2"/>
  <sheetData>
    <row r="2" spans="1:1" x14ac:dyDescent="0.2">
      <c r="A2" t="s">
        <v>91</v>
      </c>
    </row>
    <row r="3" spans="1:1" x14ac:dyDescent="0.2">
      <c r="A3" t="s">
        <v>282</v>
      </c>
    </row>
    <row r="4" spans="1:1" x14ac:dyDescent="0.2">
      <c r="A4" t="s">
        <v>283</v>
      </c>
    </row>
    <row r="5" spans="1:1" x14ac:dyDescent="0.2">
      <c r="A5" t="s">
        <v>284</v>
      </c>
    </row>
    <row r="7" spans="1:1" x14ac:dyDescent="0.2">
      <c r="A7" t="s">
        <v>281</v>
      </c>
    </row>
    <row r="10" spans="1:1" x14ac:dyDescent="0.2">
      <c r="A10" t="s">
        <v>90</v>
      </c>
    </row>
    <row r="13" spans="1:1" x14ac:dyDescent="0.2">
      <c r="A13" t="s">
        <v>224</v>
      </c>
    </row>
    <row r="15" spans="1:1" x14ac:dyDescent="0.2">
      <c r="A15" t="s">
        <v>306</v>
      </c>
    </row>
  </sheetData>
  <phoneticPr fontId="1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AF205"/>
  <sheetViews>
    <sheetView zoomScale="80" zoomScaleNormal="80" workbookViewId="0">
      <selection activeCell="F15" sqref="F15"/>
    </sheetView>
  </sheetViews>
  <sheetFormatPr defaultRowHeight="12.75" x14ac:dyDescent="0.2"/>
  <cols>
    <col min="2" max="2" width="19.7109375" bestFit="1" customWidth="1"/>
    <col min="4" max="4" width="15.28515625" customWidth="1"/>
    <col min="26" max="26" width="15.28515625" bestFit="1" customWidth="1"/>
  </cols>
  <sheetData>
    <row r="1" spans="1:32" x14ac:dyDescent="0.2">
      <c r="H1" s="18"/>
      <c r="I1" s="4"/>
      <c r="J1" s="4"/>
      <c r="K1" s="3"/>
      <c r="L1" s="3"/>
      <c r="M1" s="3"/>
      <c r="N1" s="4"/>
      <c r="O1" s="4"/>
      <c r="P1" s="4"/>
      <c r="Q1" s="2"/>
    </row>
    <row r="2" spans="1:32" x14ac:dyDescent="0.2">
      <c r="A2" s="6" t="s">
        <v>277</v>
      </c>
      <c r="H2" t="s">
        <v>230</v>
      </c>
    </row>
    <row r="3" spans="1:32" x14ac:dyDescent="0.2">
      <c r="A3" s="6" t="s">
        <v>436</v>
      </c>
    </row>
    <row r="4" spans="1:32" x14ac:dyDescent="0.2">
      <c r="B4" s="1"/>
      <c r="F4" s="294" t="s">
        <v>798</v>
      </c>
      <c r="H4" s="2"/>
      <c r="I4" s="5"/>
      <c r="J4" s="4"/>
      <c r="K4" s="3"/>
      <c r="L4" s="3"/>
      <c r="M4" s="3"/>
    </row>
    <row r="5" spans="1:32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CONCATENATE("CEFF~",AF7)</f>
        <v>CEFF~R_ES-DH-WatHeat</v>
      </c>
      <c r="O5" s="10" t="s">
        <v>78</v>
      </c>
      <c r="P5" s="10" t="s">
        <v>26</v>
      </c>
      <c r="Q5" s="10" t="s">
        <v>29</v>
      </c>
      <c r="R5" s="9" t="str">
        <f>CONCATENATE("CEFF~",AF8)</f>
        <v>CEFF~R_ES-DH-SpCool</v>
      </c>
      <c r="S5" s="9" t="str">
        <f>CONCATENATE("CEFF~",AF6)</f>
        <v>CEFF~R_ES-DH-SpHeat</v>
      </c>
      <c r="T5" s="9" t="str">
        <f>CONCATENATE("CEFF~",AF6,"~W")</f>
        <v>CEFF~R_ES-DH-SpHeat~W</v>
      </c>
      <c r="U5" s="9" t="str">
        <f>CONCATENATE("CEFF~",AF6,"~R")</f>
        <v>CEFF~R_ES-DH-SpHeat~R</v>
      </c>
      <c r="V5" s="9" t="str">
        <f>CONCATENATE("CEFF~",AF6,"~S")</f>
        <v>CEFF~R_ES-DH-SpHeat~S</v>
      </c>
      <c r="W5" s="9" t="str">
        <f>CONCATENATE("CEFF~",AF6,"~F")</f>
        <v>CEFF~R_ES-DH-SpHeat~F</v>
      </c>
      <c r="X5" s="9" t="str">
        <f>CONCATENATE("AFC~",AF6)</f>
        <v>AFC~R_ES-DH-SpHeat</v>
      </c>
      <c r="Y5" s="9" t="str">
        <f>CONCATENATE("AFC~",AF8)</f>
        <v>AFC~R_ES-DH-SpCool</v>
      </c>
      <c r="Z5" s="9" t="str">
        <f>CONCATENATE("Share-O~LO~",AF6)</f>
        <v>Share-O~LO~R_ES-DH-SpHeat</v>
      </c>
      <c r="AA5" s="12" t="s">
        <v>386</v>
      </c>
      <c r="AB5" s="13" t="s">
        <v>387</v>
      </c>
    </row>
    <row r="6" spans="1:32" x14ac:dyDescent="0.2">
      <c r="B6" t="str">
        <f>"R_ES-SH-DH_"&amp;RIGHT(C6,3)&amp;"01"</f>
        <v>R_ES-SH-DH_BIO01</v>
      </c>
      <c r="C6" t="s">
        <v>79</v>
      </c>
      <c r="D6" t="str">
        <f>$AF$6</f>
        <v>R_ES-DH-SpHeat</v>
      </c>
      <c r="F6">
        <f>Q6</f>
        <v>2011</v>
      </c>
      <c r="G6">
        <v>1</v>
      </c>
      <c r="H6" s="18">
        <f>'Generalized Data'!$C$3</f>
        <v>6.3071999999999999</v>
      </c>
      <c r="I6" s="4">
        <f>'Generalized Data'!C31</f>
        <v>0</v>
      </c>
      <c r="K6" s="4">
        <f>'Generalized Data'!E31</f>
        <v>185.76513384</v>
      </c>
      <c r="M6" s="3">
        <f>'Generalized Data'!G31</f>
        <v>0.55000000000000004</v>
      </c>
      <c r="N6" s="3"/>
      <c r="O6" s="3"/>
      <c r="P6" s="2">
        <f>'Generalized Data'!M31</f>
        <v>15</v>
      </c>
      <c r="Q6" s="91">
        <v>2011</v>
      </c>
      <c r="T6" s="78"/>
      <c r="U6" s="78"/>
      <c r="V6" s="78"/>
      <c r="W6" s="78"/>
      <c r="AA6" s="87"/>
      <c r="AB6" s="87"/>
      <c r="AF6" t="s">
        <v>399</v>
      </c>
    </row>
    <row r="7" spans="1:32" x14ac:dyDescent="0.2">
      <c r="B7" t="str">
        <f>"R_ES-SH-DH_"&amp;RIGHT(C7,3)&amp;"02"</f>
        <v>R_ES-SH-DH_BIO02</v>
      </c>
      <c r="C7" t="s">
        <v>79</v>
      </c>
      <c r="D7" t="str">
        <f>$AF$6</f>
        <v>R_ES-DH-SpHeat</v>
      </c>
      <c r="F7">
        <f>Q7</f>
        <v>2011</v>
      </c>
      <c r="G7">
        <v>1</v>
      </c>
      <c r="H7" s="18">
        <f>'Generalized Data'!$C$3</f>
        <v>6.3071999999999999</v>
      </c>
      <c r="I7" s="4">
        <f>'Generalized Data'!C32</f>
        <v>0</v>
      </c>
      <c r="K7" s="4">
        <f>'Generalized Data'!E32</f>
        <v>103.57813523199999</v>
      </c>
      <c r="M7" s="3">
        <f>'Generalized Data'!G32</f>
        <v>0.61</v>
      </c>
      <c r="N7" s="3"/>
      <c r="O7" s="3"/>
      <c r="P7" s="2">
        <f>'Generalized Data'!M32</f>
        <v>15</v>
      </c>
      <c r="Q7" s="91">
        <v>2011</v>
      </c>
      <c r="T7" s="78"/>
      <c r="U7" s="78"/>
      <c r="V7" s="78"/>
      <c r="W7" s="78"/>
      <c r="AA7" s="87"/>
      <c r="AB7" s="87"/>
      <c r="AF7" t="s">
        <v>401</v>
      </c>
    </row>
    <row r="8" spans="1:32" x14ac:dyDescent="0.2">
      <c r="B8" t="str">
        <f>"R_ES-SH-DH_"&amp;RIGHT(C8,3)&amp;"01"</f>
        <v>R_ES-SH-DH_BDL01</v>
      </c>
      <c r="C8" t="s">
        <v>303</v>
      </c>
      <c r="D8" t="str">
        <f>$AF$6</f>
        <v>R_ES-DH-SpHeat</v>
      </c>
      <c r="F8">
        <f>Q8</f>
        <v>2011</v>
      </c>
      <c r="G8">
        <v>1</v>
      </c>
      <c r="H8" s="18">
        <f>'Generalized Data'!$C$4</f>
        <v>31.536000000000001</v>
      </c>
      <c r="I8" s="4">
        <f>'Generalized Data'!C33</f>
        <v>9.6260114808000008</v>
      </c>
      <c r="K8" s="4">
        <f>'Generalized Data'!E33</f>
        <v>192.52022961599999</v>
      </c>
      <c r="M8" s="3">
        <f>'Generalized Data'!G33</f>
        <v>0.91</v>
      </c>
      <c r="N8" s="3">
        <f>'Generalized Data'!H33</f>
        <v>0.4175824175824176</v>
      </c>
      <c r="O8" s="3"/>
      <c r="P8" s="2">
        <f>'Generalized Data'!M33</f>
        <v>20</v>
      </c>
      <c r="Q8" s="91">
        <v>2011</v>
      </c>
      <c r="T8" s="78"/>
      <c r="U8" s="78"/>
      <c r="V8" s="78"/>
      <c r="W8" s="78"/>
      <c r="AA8" s="87"/>
      <c r="AB8" s="87"/>
      <c r="AF8" t="s">
        <v>402</v>
      </c>
    </row>
    <row r="9" spans="1:32" x14ac:dyDescent="0.2">
      <c r="D9" t="str">
        <f>$AF$7</f>
        <v>R_ES-DH-WatHeat</v>
      </c>
      <c r="H9" s="18"/>
      <c r="I9" s="4"/>
      <c r="K9" s="4"/>
      <c r="M9" s="3"/>
      <c r="N9" s="3"/>
      <c r="O9" s="3"/>
      <c r="P9" s="2"/>
      <c r="T9" s="78"/>
      <c r="U9" s="78"/>
      <c r="V9" s="78"/>
      <c r="W9" s="78"/>
      <c r="AA9" s="87"/>
      <c r="AB9" s="87"/>
    </row>
    <row r="10" spans="1:32" x14ac:dyDescent="0.2">
      <c r="B10" t="str">
        <f>"R_ES-SH-DH_"&amp;RIGHT(C10,3)&amp;"01"</f>
        <v>R_ES-SH-DH_ELC01</v>
      </c>
      <c r="C10" t="s">
        <v>81</v>
      </c>
      <c r="D10" t="str">
        <f>$AF$6</f>
        <v>R_ES-DH-SpHeat</v>
      </c>
      <c r="F10">
        <f>Q10</f>
        <v>2011</v>
      </c>
      <c r="G10">
        <v>1</v>
      </c>
      <c r="H10" s="18">
        <f>'Generalized Data'!$C$4</f>
        <v>31.536000000000001</v>
      </c>
      <c r="I10" s="4">
        <f>'Generalized Data'!C34</f>
        <v>2.5629999999999997</v>
      </c>
      <c r="K10" s="4">
        <f>'Generalized Data'!E34</f>
        <v>233</v>
      </c>
      <c r="M10" s="3">
        <f>'Generalized Data'!G34</f>
        <v>1</v>
      </c>
      <c r="N10" s="3"/>
      <c r="O10" s="3"/>
      <c r="P10" s="2">
        <f>'Generalized Data'!M34</f>
        <v>15</v>
      </c>
      <c r="Q10" s="91">
        <v>2011</v>
      </c>
      <c r="T10" s="78"/>
      <c r="U10" s="78"/>
      <c r="V10" s="78"/>
      <c r="W10" s="78"/>
      <c r="AA10" s="87"/>
      <c r="AB10" s="87"/>
    </row>
    <row r="11" spans="1:32" x14ac:dyDescent="0.2">
      <c r="B11" t="str">
        <f>"R_ES-SH-DH_"&amp;RIGHT(C11,3)&amp;"02"</f>
        <v>R_ES-SH-DH_ELC02</v>
      </c>
      <c r="C11" t="s">
        <v>81</v>
      </c>
      <c r="D11" t="str">
        <f>$AF$6</f>
        <v>R_ES-DH-SpHeat</v>
      </c>
      <c r="F11">
        <f>Q11</f>
        <v>2011</v>
      </c>
      <c r="H11" s="18">
        <f>'Generalized Data'!$C$4</f>
        <v>31.536000000000001</v>
      </c>
      <c r="I11" s="4">
        <f>'Generalized Data'!C35</f>
        <v>16</v>
      </c>
      <c r="J11" s="4">
        <f>'Generalized Data'!D35</f>
        <v>6.46</v>
      </c>
      <c r="K11" s="20">
        <f>'Generalized Data'!E35</f>
        <v>800</v>
      </c>
      <c r="L11" s="20">
        <f>'Generalized Data'!F35</f>
        <v>646</v>
      </c>
      <c r="M11" s="4">
        <v>1</v>
      </c>
      <c r="N11" s="3"/>
      <c r="P11" s="2">
        <f>'Generalized Data'!M35</f>
        <v>20</v>
      </c>
      <c r="Q11" s="91">
        <v>2011</v>
      </c>
      <c r="T11" s="81">
        <f>'Generalized Data'!$O$35</f>
        <v>3</v>
      </c>
      <c r="U11" s="22">
        <f>T11</f>
        <v>3</v>
      </c>
      <c r="V11" s="80">
        <f>T11</f>
        <v>3</v>
      </c>
      <c r="W11" s="80">
        <f>V11</f>
        <v>3</v>
      </c>
      <c r="X11">
        <v>0.15</v>
      </c>
      <c r="AA11" s="23">
        <f>IF(I11="","",I11)</f>
        <v>16</v>
      </c>
      <c r="AB11" s="23">
        <f>IF(K11="","",K11)</f>
        <v>800</v>
      </c>
    </row>
    <row r="12" spans="1:32" x14ac:dyDescent="0.2">
      <c r="E12" t="s">
        <v>82</v>
      </c>
      <c r="H12" s="18"/>
      <c r="I12" s="4"/>
      <c r="J12" s="4"/>
      <c r="K12" s="20"/>
      <c r="L12" s="20"/>
      <c r="M12" s="4"/>
      <c r="N12" s="3"/>
      <c r="P12" s="2"/>
      <c r="T12" s="82"/>
      <c r="V12" s="79"/>
      <c r="W12" s="79"/>
      <c r="AA12" s="23" t="str">
        <f t="shared" ref="AA12:AA25" si="0">IF(I12="","",I12)</f>
        <v/>
      </c>
      <c r="AB12" s="23" t="str">
        <f t="shared" ref="AB12:AB25" si="1">IF(K12="","",K12)</f>
        <v/>
      </c>
    </row>
    <row r="13" spans="1:32" x14ac:dyDescent="0.2">
      <c r="B13" t="str">
        <f>"R_ES-SH-DH_"&amp;RIGHT(C13,3)&amp;"03"</f>
        <v>R_ES-SH-DH_ELC03</v>
      </c>
      <c r="C13" t="s">
        <v>81</v>
      </c>
      <c r="D13" t="str">
        <f>$AF$6</f>
        <v>R_ES-DH-SpHeat</v>
      </c>
      <c r="F13">
        <f>Q13</f>
        <v>2011</v>
      </c>
      <c r="H13" s="18">
        <f>'Generalized Data'!$C$4</f>
        <v>31.536000000000001</v>
      </c>
      <c r="I13" s="4">
        <f>'Generalized Data'!C36</f>
        <v>18</v>
      </c>
      <c r="J13" s="4">
        <f>'Generalized Data'!D36</f>
        <v>7.46</v>
      </c>
      <c r="K13" s="20">
        <f>'Generalized Data'!E36</f>
        <v>900</v>
      </c>
      <c r="L13" s="20">
        <f>'Generalized Data'!F36</f>
        <v>746</v>
      </c>
      <c r="M13" s="4">
        <v>1</v>
      </c>
      <c r="N13" s="3"/>
      <c r="P13" s="2">
        <f>'Generalized Data'!M36</f>
        <v>20</v>
      </c>
      <c r="Q13" s="91">
        <v>2011</v>
      </c>
      <c r="R13">
        <v>4.5</v>
      </c>
      <c r="T13" s="81">
        <f>'Generalized Data'!$O$36</f>
        <v>3</v>
      </c>
      <c r="U13" s="22">
        <f>T13</f>
        <v>3</v>
      </c>
      <c r="V13" s="80">
        <f>T13</f>
        <v>3</v>
      </c>
      <c r="W13" s="80">
        <f>V13</f>
        <v>3</v>
      </c>
      <c r="X13">
        <v>0.15</v>
      </c>
      <c r="Y13">
        <v>999</v>
      </c>
      <c r="Z13">
        <v>0.6</v>
      </c>
      <c r="AA13" s="23">
        <f t="shared" si="0"/>
        <v>18</v>
      </c>
      <c r="AB13" s="23">
        <f t="shared" si="1"/>
        <v>900</v>
      </c>
    </row>
    <row r="14" spans="1:32" x14ac:dyDescent="0.2">
      <c r="D14" t="s">
        <v>402</v>
      </c>
      <c r="H14" s="18"/>
      <c r="I14" s="4"/>
      <c r="J14" s="4"/>
      <c r="K14" s="20"/>
      <c r="L14" s="20"/>
      <c r="M14" s="4"/>
      <c r="N14" s="3"/>
      <c r="P14" s="2"/>
      <c r="T14" s="82"/>
      <c r="V14" s="79"/>
      <c r="W14" s="79"/>
      <c r="AA14" s="23" t="str">
        <f t="shared" si="0"/>
        <v/>
      </c>
      <c r="AB14" s="23" t="str">
        <f t="shared" si="1"/>
        <v/>
      </c>
    </row>
    <row r="15" spans="1:32" x14ac:dyDescent="0.2">
      <c r="E15" t="s">
        <v>82</v>
      </c>
      <c r="H15" s="18"/>
      <c r="I15" s="4"/>
      <c r="J15" s="4"/>
      <c r="K15" s="20"/>
      <c r="L15" s="20"/>
      <c r="M15" s="4"/>
      <c r="N15" s="3"/>
      <c r="P15" s="2"/>
      <c r="T15" s="82"/>
      <c r="V15" s="79"/>
      <c r="W15" s="79"/>
      <c r="AA15" s="23" t="str">
        <f t="shared" si="0"/>
        <v/>
      </c>
      <c r="AB15" s="23" t="str">
        <f t="shared" si="1"/>
        <v/>
      </c>
    </row>
    <row r="16" spans="1:32" x14ac:dyDescent="0.2">
      <c r="B16" t="str">
        <f>"R_ES-SH-DH_"&amp;RIGHT(C16,3)&amp;"04"</f>
        <v>R_ES-SH-DH_ELC04</v>
      </c>
      <c r="C16" t="s">
        <v>81</v>
      </c>
      <c r="D16" t="str">
        <f>$AF$6</f>
        <v>R_ES-DH-SpHeat</v>
      </c>
      <c r="F16">
        <f>Q16</f>
        <v>2011</v>
      </c>
      <c r="H16" s="18">
        <f>'Generalized Data'!$C$4</f>
        <v>31.536000000000001</v>
      </c>
      <c r="I16" s="4">
        <f>'Generalized Data'!C37</f>
        <v>19.800000000000004</v>
      </c>
      <c r="J16" s="4">
        <f>'Generalized Data'!D37</f>
        <v>8.2059999999999995</v>
      </c>
      <c r="K16" s="20">
        <f>'Generalized Data'!E37</f>
        <v>990.00000000000011</v>
      </c>
      <c r="L16" s="20">
        <f>'Generalized Data'!F37</f>
        <v>820.6</v>
      </c>
      <c r="M16" s="4">
        <v>1</v>
      </c>
      <c r="N16" s="3"/>
      <c r="P16" s="2">
        <f>'Generalized Data'!M37</f>
        <v>20</v>
      </c>
      <c r="Q16" s="91">
        <v>2011</v>
      </c>
      <c r="R16">
        <v>4.7</v>
      </c>
      <c r="T16" s="81">
        <f>'Generalized Data'!$O$37</f>
        <v>3.3</v>
      </c>
      <c r="U16" s="22">
        <f>T16</f>
        <v>3.3</v>
      </c>
      <c r="V16" s="80">
        <f>T16</f>
        <v>3.3</v>
      </c>
      <c r="W16" s="80">
        <f>V16</f>
        <v>3.3</v>
      </c>
      <c r="X16">
        <v>0.15</v>
      </c>
      <c r="Y16">
        <v>999</v>
      </c>
      <c r="Z16">
        <v>0.6</v>
      </c>
      <c r="AA16" s="23">
        <f t="shared" si="0"/>
        <v>19.800000000000004</v>
      </c>
      <c r="AB16" s="23">
        <f t="shared" si="1"/>
        <v>990.00000000000011</v>
      </c>
    </row>
    <row r="17" spans="2:28" x14ac:dyDescent="0.2">
      <c r="D17" t="s">
        <v>402</v>
      </c>
      <c r="H17" s="18"/>
      <c r="I17" s="4"/>
      <c r="J17" s="4"/>
      <c r="K17" s="20"/>
      <c r="L17" s="20"/>
      <c r="M17" s="4"/>
      <c r="N17" s="3"/>
      <c r="P17" s="2"/>
      <c r="T17" s="22"/>
      <c r="V17" s="79"/>
      <c r="W17" s="79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82</v>
      </c>
      <c r="H18" s="18"/>
      <c r="I18" s="4"/>
      <c r="J18" s="4"/>
      <c r="K18" s="20"/>
      <c r="L18" s="20"/>
      <c r="M18" s="4"/>
      <c r="N18" s="3"/>
      <c r="P18" s="2"/>
      <c r="T18" s="79"/>
      <c r="V18" s="79"/>
      <c r="W18" s="79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"R_ES-SH-DH_"&amp;RIGHT(C19,3)&amp;"05"</f>
        <v>R_ES-SH-DH_ELC05</v>
      </c>
      <c r="C19" t="s">
        <v>81</v>
      </c>
      <c r="D19" t="str">
        <f>$AF$6</f>
        <v>R_ES-DH-SpHeat</v>
      </c>
      <c r="F19">
        <f>Q19</f>
        <v>2011</v>
      </c>
      <c r="H19" s="18">
        <f>'Generalized Data'!$C$4</f>
        <v>31.536000000000001</v>
      </c>
      <c r="I19" s="4">
        <f>'Generalized Data'!C38</f>
        <v>28</v>
      </c>
      <c r="J19" s="4">
        <f>'Generalized Data'!D38</f>
        <v>11.504000000000001</v>
      </c>
      <c r="K19" s="20">
        <f>'Generalized Data'!E38</f>
        <v>1400</v>
      </c>
      <c r="L19" s="20">
        <f>'Generalized Data'!F38</f>
        <v>1150.4000000000001</v>
      </c>
      <c r="M19" s="4">
        <v>1</v>
      </c>
      <c r="N19" s="3"/>
      <c r="P19" s="2">
        <f>'Generalized Data'!M38</f>
        <v>20</v>
      </c>
      <c r="Q19" s="91">
        <v>2011</v>
      </c>
      <c r="R19">
        <v>5</v>
      </c>
      <c r="T19" s="81">
        <f>'Generalized Data'!O38</f>
        <v>3.8</v>
      </c>
      <c r="U19" s="22">
        <f>T19-0.5</f>
        <v>3.3</v>
      </c>
      <c r="V19" s="22">
        <f>T19</f>
        <v>3.8</v>
      </c>
      <c r="W19" s="22">
        <f>V19+0.5</f>
        <v>4.3</v>
      </c>
      <c r="X19">
        <v>0.15</v>
      </c>
      <c r="Y19">
        <v>999</v>
      </c>
      <c r="Z19">
        <v>0.6</v>
      </c>
      <c r="AA19" s="23">
        <f t="shared" si="0"/>
        <v>28</v>
      </c>
      <c r="AB19" s="23">
        <f t="shared" si="1"/>
        <v>1400</v>
      </c>
    </row>
    <row r="20" spans="2:28" x14ac:dyDescent="0.2">
      <c r="D20" t="s">
        <v>402</v>
      </c>
      <c r="H20" s="18"/>
      <c r="I20" s="4"/>
      <c r="J20" s="4"/>
      <c r="K20" s="20"/>
      <c r="L20" s="20"/>
      <c r="M20" s="4"/>
      <c r="N20" s="3"/>
      <c r="P20" s="2"/>
      <c r="T20" s="81"/>
      <c r="U20" s="22"/>
      <c r="V20" s="22"/>
      <c r="W20" s="22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58</v>
      </c>
      <c r="H21" s="18"/>
      <c r="I21" s="4"/>
      <c r="J21" s="4"/>
      <c r="K21" s="20"/>
      <c r="L21" s="20"/>
      <c r="M21" s="4"/>
      <c r="N21" s="3"/>
      <c r="P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"R_ES-SH-DH_"&amp;RIGHT(C22,3)&amp;"06"</f>
        <v>R_ES-SH-DH_ELC06</v>
      </c>
      <c r="C22" t="s">
        <v>81</v>
      </c>
      <c r="D22" t="str">
        <f>$AF$6</f>
        <v>R_ES-DH-SpHeat</v>
      </c>
      <c r="F22">
        <f>Q22</f>
        <v>2011</v>
      </c>
      <c r="H22" s="18">
        <f>'Generalized Data'!$C$4</f>
        <v>31.536000000000001</v>
      </c>
      <c r="I22" s="4">
        <f>'Generalized Data'!C39</f>
        <v>42</v>
      </c>
      <c r="J22" s="4">
        <f>'Generalized Data'!D39</f>
        <v>17.16</v>
      </c>
      <c r="K22" s="20">
        <f>'Generalized Data'!E39</f>
        <v>2100</v>
      </c>
      <c r="L22" s="20">
        <f>'Generalized Data'!F39</f>
        <v>1716</v>
      </c>
      <c r="M22" s="4">
        <v>1</v>
      </c>
      <c r="N22" s="3"/>
      <c r="P22" s="2">
        <f>'Generalized Data'!M39</f>
        <v>20</v>
      </c>
      <c r="Q22" s="91">
        <v>2011</v>
      </c>
      <c r="R22">
        <v>5</v>
      </c>
      <c r="S22" s="81">
        <f>'Generalized Data'!O39</f>
        <v>4.4444444444444446</v>
      </c>
      <c r="U22" s="22"/>
      <c r="V22" s="22"/>
      <c r="W22" s="22"/>
      <c r="X22">
        <v>0.15</v>
      </c>
      <c r="Y22">
        <v>999</v>
      </c>
      <c r="Z22">
        <v>0.6</v>
      </c>
      <c r="AA22" s="23">
        <f t="shared" si="0"/>
        <v>42</v>
      </c>
      <c r="AB22" s="23">
        <f t="shared" si="1"/>
        <v>2100</v>
      </c>
    </row>
    <row r="23" spans="2:28" x14ac:dyDescent="0.2">
      <c r="D23" t="s">
        <v>402</v>
      </c>
      <c r="H23" s="18"/>
      <c r="I23" s="4"/>
      <c r="J23" s="4"/>
      <c r="K23" s="20"/>
      <c r="L23" s="20"/>
      <c r="M23" s="4"/>
      <c r="N23" s="3"/>
      <c r="P23" s="2"/>
      <c r="T23" s="81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58</v>
      </c>
      <c r="H24" s="18"/>
      <c r="I24" s="4"/>
      <c r="J24" s="4"/>
      <c r="K24" s="20"/>
      <c r="L24" s="20"/>
      <c r="M24" s="4"/>
      <c r="N24" s="3"/>
      <c r="P24" s="2"/>
      <c r="T24" s="81"/>
      <c r="AA24" s="23" t="str">
        <f t="shared" si="0"/>
        <v/>
      </c>
      <c r="AB24" s="23" t="str">
        <f t="shared" si="1"/>
        <v/>
      </c>
    </row>
    <row r="25" spans="2:28" x14ac:dyDescent="0.2">
      <c r="B25" t="str">
        <f>"R_ES-SH-DH_"&amp;RIGHT(C25,3)&amp;"07"</f>
        <v>R_ES-SH-DH_ELC07</v>
      </c>
      <c r="C25" t="s">
        <v>81</v>
      </c>
      <c r="D25" t="str">
        <f>$AF$6</f>
        <v>R_ES-DH-SpHeat</v>
      </c>
      <c r="F25">
        <f>Q25</f>
        <v>2011</v>
      </c>
      <c r="H25" s="18">
        <f>'Generalized Data'!$C$4</f>
        <v>31.536000000000001</v>
      </c>
      <c r="I25" s="4">
        <f>'Generalized Data'!C40</f>
        <v>48</v>
      </c>
      <c r="J25" s="4">
        <f>'Generalized Data'!D40</f>
        <v>29.669999999999998</v>
      </c>
      <c r="K25" s="20">
        <f>'Generalized Data'!E40</f>
        <v>1200</v>
      </c>
      <c r="L25" s="20">
        <f>'Generalized Data'!F40</f>
        <v>989</v>
      </c>
      <c r="M25" s="4">
        <v>1</v>
      </c>
      <c r="N25" s="3"/>
      <c r="P25" s="2">
        <f>'Generalized Data'!M40</f>
        <v>20</v>
      </c>
      <c r="Q25" s="91">
        <v>2011</v>
      </c>
      <c r="R25">
        <v>6</v>
      </c>
      <c r="S25" s="81">
        <f>'Generalized Data'!O40</f>
        <v>4</v>
      </c>
      <c r="U25" s="22"/>
      <c r="V25" s="22"/>
      <c r="W25" s="22"/>
      <c r="X25">
        <v>0.15</v>
      </c>
      <c r="Y25">
        <v>999</v>
      </c>
      <c r="Z25">
        <v>0.6</v>
      </c>
      <c r="AA25" s="23">
        <f t="shared" si="0"/>
        <v>48</v>
      </c>
      <c r="AB25" s="23">
        <f t="shared" si="1"/>
        <v>1200</v>
      </c>
    </row>
    <row r="26" spans="2:28" x14ac:dyDescent="0.2">
      <c r="D26" t="s">
        <v>402</v>
      </c>
      <c r="H26" s="18"/>
      <c r="I26" s="4"/>
      <c r="K26" s="4"/>
      <c r="M26" s="3"/>
      <c r="N26" s="3"/>
      <c r="P26" s="2"/>
      <c r="T26" s="79"/>
      <c r="AA26" s="23" t="str">
        <f t="shared" ref="AA26:AA47" si="2">IF(I26="","",I26)</f>
        <v/>
      </c>
      <c r="AB26" s="23" t="str">
        <f t="shared" ref="AB26:AB47" si="3">IF(K26="","",K26)</f>
        <v/>
      </c>
    </row>
    <row r="27" spans="2:28" x14ac:dyDescent="0.2">
      <c r="E27" t="s">
        <v>58</v>
      </c>
      <c r="H27" s="18"/>
      <c r="I27" s="4"/>
      <c r="K27" s="4"/>
      <c r="M27" s="3"/>
      <c r="N27" s="3"/>
      <c r="P27" s="2"/>
      <c r="R27" s="79"/>
      <c r="T27" s="79"/>
      <c r="AA27" s="23" t="str">
        <f t="shared" si="2"/>
        <v/>
      </c>
      <c r="AB27" s="23" t="str">
        <f t="shared" si="3"/>
        <v/>
      </c>
    </row>
    <row r="28" spans="2:28" x14ac:dyDescent="0.2">
      <c r="B28" t="str">
        <f>"R_ES-SH-DH_"&amp;RIGHT(C28,3)&amp;"01"</f>
        <v>R_ES-SH-DH_GAS01</v>
      </c>
      <c r="C28" t="s">
        <v>83</v>
      </c>
      <c r="D28" t="str">
        <f>$AF$6</f>
        <v>R_ES-DH-SpHeat</v>
      </c>
      <c r="F28">
        <f>Q28</f>
        <v>2011</v>
      </c>
      <c r="G28">
        <v>1</v>
      </c>
      <c r="H28" s="18">
        <f>'Generalized Data'!$C$3</f>
        <v>6.3071999999999999</v>
      </c>
      <c r="I28" s="4">
        <f>'Generalized Data'!C41</f>
        <v>2.2516985919999999</v>
      </c>
      <c r="K28" s="4">
        <f>'Generalized Data'!E41</f>
        <v>39.40472536</v>
      </c>
      <c r="M28" s="3">
        <f>'Generalized Data'!G41</f>
        <v>0.84</v>
      </c>
      <c r="N28" s="3"/>
      <c r="O28" s="3"/>
      <c r="P28" s="2">
        <f>'Generalized Data'!M41</f>
        <v>15</v>
      </c>
      <c r="Q28" s="91">
        <v>2011</v>
      </c>
      <c r="R28" s="78"/>
      <c r="T28" s="78"/>
      <c r="AA28" s="23"/>
      <c r="AB28" s="23"/>
    </row>
    <row r="29" spans="2:28" x14ac:dyDescent="0.2">
      <c r="B29" t="str">
        <f>"R_ES-SH-DH_"&amp;RIGHT(C29,3)&amp;"02"</f>
        <v>R_ES-SH-DH_GAS02</v>
      </c>
      <c r="C29" t="s">
        <v>83</v>
      </c>
      <c r="D29" t="str">
        <f>$AF$6</f>
        <v>R_ES-DH-SpHeat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Data'!C42</f>
        <v>10.716000000000001</v>
      </c>
      <c r="K29" s="4">
        <f>'Generalized Data'!E42</f>
        <v>214.32</v>
      </c>
      <c r="M29" s="3">
        <f>'Generalized Data'!G42</f>
        <v>0.9</v>
      </c>
      <c r="N29" s="3"/>
      <c r="O29" s="3"/>
      <c r="P29" s="2">
        <f>'Generalized Data'!M42</f>
        <v>20</v>
      </c>
      <c r="Q29" s="91">
        <v>2011</v>
      </c>
      <c r="R29" s="78"/>
      <c r="T29" s="78"/>
      <c r="AA29" s="23"/>
      <c r="AB29" s="23"/>
    </row>
    <row r="30" spans="2:28" x14ac:dyDescent="0.2">
      <c r="B30" t="str">
        <f>"R_ES-SH-DH_"&amp;RIGHT(C30,3)&amp;"03"</f>
        <v>R_ES-SH-DH_GAS03</v>
      </c>
      <c r="C30" t="s">
        <v>83</v>
      </c>
      <c r="D30" t="str">
        <f>$AF$6</f>
        <v>R_ES-DH-SpHeat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Data'!C43</f>
        <v>11.844000000000001</v>
      </c>
      <c r="K30" s="4">
        <f>'Generalized Data'!E43</f>
        <v>236.88</v>
      </c>
      <c r="M30" s="3">
        <f>'Generalized Data'!G43</f>
        <v>0.90500000000000003</v>
      </c>
      <c r="N30" s="3">
        <f>'Generalized Data'!H43</f>
        <v>0.66298342541436461</v>
      </c>
      <c r="O30" s="3"/>
      <c r="P30" s="2">
        <f>'Generalized Data'!M43</f>
        <v>20</v>
      </c>
      <c r="Q30" s="91">
        <v>2011</v>
      </c>
      <c r="R30" s="78"/>
      <c r="T30" s="78"/>
      <c r="AA30" s="23"/>
      <c r="AB30" s="23"/>
    </row>
    <row r="31" spans="2:28" x14ac:dyDescent="0.2">
      <c r="D31" t="str">
        <f>$AF$7</f>
        <v>R_ES-DH-WatHeat</v>
      </c>
      <c r="H31" s="18"/>
      <c r="I31" s="4"/>
      <c r="K31" s="4"/>
      <c r="M31" s="3"/>
      <c r="N31" s="3"/>
      <c r="O31" s="3"/>
      <c r="P31" s="2"/>
      <c r="R31" s="78"/>
      <c r="T31" s="78"/>
      <c r="AA31" s="23"/>
      <c r="AB31" s="23"/>
    </row>
    <row r="32" spans="2:28" x14ac:dyDescent="0.2">
      <c r="B32" t="str">
        <f>"R_ES-SH-DH_"&amp;RIGHT(C32,3)&amp;"04"</f>
        <v>R_ES-SH-DH_GAS04</v>
      </c>
      <c r="C32" t="s">
        <v>83</v>
      </c>
      <c r="D32" t="str">
        <f>$AF$6</f>
        <v>R_ES-DH-SpHeat</v>
      </c>
      <c r="F32">
        <f>Q32</f>
        <v>2011</v>
      </c>
      <c r="G32">
        <v>1</v>
      </c>
      <c r="H32" s="18">
        <f>'Generalized Data'!$C$4</f>
        <v>31.536000000000001</v>
      </c>
      <c r="I32" s="4">
        <f>'Generalized Data'!C44</f>
        <v>18.8</v>
      </c>
      <c r="K32" s="4">
        <f>'Generalized Data'!E44</f>
        <v>376</v>
      </c>
      <c r="M32" s="3">
        <f>'Generalized Data'!G44</f>
        <v>1.0249999999999999</v>
      </c>
      <c r="N32" s="3"/>
      <c r="O32" s="3"/>
      <c r="P32" s="2">
        <f>'Generalized Data'!M44</f>
        <v>20</v>
      </c>
      <c r="Q32" s="91">
        <v>2011</v>
      </c>
      <c r="R32" s="78"/>
      <c r="T32" s="78"/>
      <c r="AA32" s="23"/>
      <c r="AB32" s="23"/>
    </row>
    <row r="33" spans="2:28" x14ac:dyDescent="0.2">
      <c r="B33" t="str">
        <f>"R_ES-SH-DH_"&amp;RIGHT(C33,3)&amp;"05"</f>
        <v>R_ES-SH-DH_GAS05</v>
      </c>
      <c r="C33" t="s">
        <v>83</v>
      </c>
      <c r="D33" t="str">
        <f>$AF$6</f>
        <v>R_ES-DH-SpHeat</v>
      </c>
      <c r="F33">
        <f>Q33</f>
        <v>2011</v>
      </c>
      <c r="G33">
        <v>1</v>
      </c>
      <c r="H33" s="18">
        <f>'Generalized Data'!$C$4</f>
        <v>31.536000000000001</v>
      </c>
      <c r="I33" s="4">
        <f>'Generalized Data'!C45</f>
        <v>20.888888888888889</v>
      </c>
      <c r="K33" s="4">
        <f>'Generalized Data'!E45</f>
        <v>417.77777777777777</v>
      </c>
      <c r="M33" s="3">
        <f>'Generalized Data'!G45</f>
        <v>1.07</v>
      </c>
      <c r="N33" s="3">
        <f>'Generalized Data'!H45</f>
        <v>0.56074766355140182</v>
      </c>
      <c r="O33" s="3"/>
      <c r="P33" s="2">
        <f>'Generalized Data'!M45</f>
        <v>20</v>
      </c>
      <c r="Q33" s="91">
        <v>2011</v>
      </c>
      <c r="R33" s="78"/>
      <c r="T33" s="78"/>
      <c r="AA33" s="23"/>
      <c r="AB33" s="23"/>
    </row>
    <row r="34" spans="2:28" x14ac:dyDescent="0.2">
      <c r="D34" t="str">
        <f>$AF$7</f>
        <v>R_ES-DH-WatHeat</v>
      </c>
      <c r="H34" s="18"/>
      <c r="I34" s="4"/>
      <c r="K34" s="4"/>
      <c r="M34" s="3"/>
      <c r="N34" s="3"/>
      <c r="O34" s="3"/>
      <c r="P34" s="2"/>
      <c r="R34" s="78"/>
      <c r="T34" s="78"/>
      <c r="AA34" s="23" t="str">
        <f t="shared" si="2"/>
        <v/>
      </c>
      <c r="AB34" s="23" t="str">
        <f t="shared" si="3"/>
        <v/>
      </c>
    </row>
    <row r="35" spans="2:28" x14ac:dyDescent="0.2">
      <c r="B35" t="str">
        <f>"R_ES-SH-DH_"&amp;RIGHT(C35,3)&amp;"06"</f>
        <v>R_ES-SH-DH_GAS06</v>
      </c>
      <c r="C35" t="s">
        <v>83</v>
      </c>
      <c r="D35" t="str">
        <f>$AF$6</f>
        <v>R_ES-DH-SpHeat</v>
      </c>
      <c r="F35">
        <f>Q35</f>
        <v>2011</v>
      </c>
      <c r="H35" s="18">
        <f>'Generalized Data'!$C$4</f>
        <v>31.536000000000001</v>
      </c>
      <c r="I35" s="4">
        <f>'Generalized Data'!C46</f>
        <v>49.6</v>
      </c>
      <c r="J35" s="4">
        <f>'Generalized Data'!D46</f>
        <v>40.052</v>
      </c>
      <c r="K35" s="4">
        <f>'Generalized Data'!E46</f>
        <v>1240</v>
      </c>
      <c r="L35" s="4">
        <f>'Generalized Data'!F46</f>
        <v>1001.3</v>
      </c>
      <c r="M35" s="4">
        <v>1</v>
      </c>
      <c r="N35" s="3"/>
      <c r="P35" s="2">
        <f>'Generalized Data'!M46</f>
        <v>20</v>
      </c>
      <c r="Q35" s="91">
        <v>2011</v>
      </c>
      <c r="R35" s="78">
        <v>0.9</v>
      </c>
      <c r="T35" s="81">
        <f>'Generalized Data'!$O$46</f>
        <v>1.5</v>
      </c>
      <c r="U35" s="22">
        <f>T35</f>
        <v>1.5</v>
      </c>
      <c r="V35" s="22">
        <f>U35</f>
        <v>1.5</v>
      </c>
      <c r="W35" s="22">
        <f>V35</f>
        <v>1.5</v>
      </c>
      <c r="X35">
        <v>0.15</v>
      </c>
      <c r="Y35">
        <v>999</v>
      </c>
      <c r="Z35">
        <v>0.6</v>
      </c>
      <c r="AA35" s="23">
        <f t="shared" si="2"/>
        <v>49.6</v>
      </c>
      <c r="AB35" s="23">
        <f t="shared" si="3"/>
        <v>1240</v>
      </c>
    </row>
    <row r="36" spans="2:28" x14ac:dyDescent="0.2">
      <c r="D36" t="s">
        <v>402</v>
      </c>
      <c r="H36" s="18"/>
      <c r="I36" s="4"/>
      <c r="J36" s="4"/>
      <c r="K36" s="4"/>
      <c r="L36" s="4"/>
      <c r="M36" s="3"/>
      <c r="N36" s="3"/>
      <c r="P36" s="2"/>
      <c r="R36" s="78"/>
      <c r="T36" s="78"/>
      <c r="AA36" s="23" t="str">
        <f t="shared" si="2"/>
        <v/>
      </c>
      <c r="AB36" s="23" t="str">
        <f t="shared" si="3"/>
        <v/>
      </c>
    </row>
    <row r="37" spans="2:28" x14ac:dyDescent="0.2">
      <c r="B37" t="str">
        <f>"R_ES-SH-DH_"&amp;RIGHT(C37,3)&amp;"07"</f>
        <v>R_ES-SH-DH_GAS07</v>
      </c>
      <c r="C37" t="s">
        <v>83</v>
      </c>
      <c r="D37" t="str">
        <f>$AF$6</f>
        <v>R_ES-DH-SpHeat</v>
      </c>
      <c r="F37">
        <f>Q37</f>
        <v>2011</v>
      </c>
      <c r="H37" s="18">
        <f>'Generalized Data'!$C$4</f>
        <v>31.536000000000001</v>
      </c>
      <c r="I37" s="4">
        <f>'Generalized Data'!C47</f>
        <v>61.6</v>
      </c>
      <c r="J37" s="4">
        <f>'Generalized Data'!D47</f>
        <v>62.261999999999993</v>
      </c>
      <c r="K37" s="4">
        <f>'Generalized Data'!E47</f>
        <v>1540</v>
      </c>
      <c r="L37" s="4">
        <f>'Generalized Data'!F47</f>
        <v>1244.3</v>
      </c>
      <c r="M37" s="4">
        <v>1</v>
      </c>
      <c r="N37" s="3"/>
      <c r="P37" s="2">
        <f>'Generalized Data'!M47</f>
        <v>20</v>
      </c>
      <c r="Q37" s="91">
        <v>2011</v>
      </c>
      <c r="R37" s="22">
        <v>1</v>
      </c>
      <c r="S37" s="82">
        <f>'Generalized Data'!$O$47</f>
        <v>2</v>
      </c>
      <c r="U37" s="22"/>
      <c r="V37" s="22"/>
      <c r="W37" s="22"/>
      <c r="X37">
        <v>0.15</v>
      </c>
      <c r="Y37">
        <v>999</v>
      </c>
      <c r="Z37">
        <v>0.6</v>
      </c>
      <c r="AA37" s="23">
        <f t="shared" si="2"/>
        <v>61.6</v>
      </c>
      <c r="AB37" s="23">
        <f t="shared" si="3"/>
        <v>1540</v>
      </c>
    </row>
    <row r="38" spans="2:28" x14ac:dyDescent="0.2">
      <c r="D38" t="s">
        <v>402</v>
      </c>
      <c r="H38" s="18"/>
      <c r="I38" s="4"/>
      <c r="K38" s="4"/>
      <c r="L38" s="4"/>
      <c r="M38" s="3"/>
      <c r="N38" s="3"/>
      <c r="P38" s="2"/>
      <c r="R38" s="78"/>
      <c r="T38" s="78"/>
      <c r="AA38" s="23" t="str">
        <f t="shared" si="2"/>
        <v/>
      </c>
      <c r="AB38" s="23" t="str">
        <f t="shared" si="3"/>
        <v/>
      </c>
    </row>
    <row r="39" spans="2:28" x14ac:dyDescent="0.2">
      <c r="B39" t="str">
        <f>"R_ES-SH-DH_"&amp;RIGHT(C39,3)&amp;"01"</f>
        <v>R_ES-SH-DH_HH201</v>
      </c>
      <c r="C39" t="s">
        <v>92</v>
      </c>
      <c r="D39" t="str">
        <f>$AF$6</f>
        <v>R_ES-DH-SpHeat</v>
      </c>
      <c r="F39">
        <f>Q39</f>
        <v>2011</v>
      </c>
      <c r="G39">
        <v>1</v>
      </c>
      <c r="H39" s="18">
        <f>'Generalized Data'!$C$4</f>
        <v>31.536000000000001</v>
      </c>
      <c r="I39" s="4">
        <f>'Generalized Data'!C48</f>
        <v>104.41448042331427</v>
      </c>
      <c r="K39" s="4">
        <f>'Generalized Data'!E48</f>
        <v>1827.2534074079999</v>
      </c>
      <c r="M39" s="3">
        <f>'Generalized Data'!G48</f>
        <v>0.86</v>
      </c>
      <c r="N39" s="3"/>
      <c r="O39" s="3"/>
      <c r="P39" s="2">
        <f>'Generalized Data'!M48</f>
        <v>20</v>
      </c>
      <c r="Q39" s="91">
        <v>2011</v>
      </c>
      <c r="R39" s="78"/>
      <c r="T39" s="78"/>
      <c r="AA39" s="23"/>
      <c r="AB39" s="23"/>
    </row>
    <row r="40" spans="2:28" x14ac:dyDescent="0.2">
      <c r="F40">
        <v>2030</v>
      </c>
      <c r="H40" s="18"/>
      <c r="I40" s="4"/>
      <c r="K40" s="4"/>
      <c r="M40" s="3"/>
      <c r="N40" s="3"/>
      <c r="O40" s="3"/>
      <c r="P40" s="2"/>
      <c r="R40" s="78"/>
      <c r="T40" s="78"/>
      <c r="AA40" s="23"/>
      <c r="AB40" s="23"/>
    </row>
    <row r="41" spans="2:28" x14ac:dyDescent="0.2">
      <c r="B41" t="str">
        <f>"R_ES-SH-DH_"&amp;RIGHT(C41,3)&amp;"01"</f>
        <v>R_ES-SH-DH_LPG01</v>
      </c>
      <c r="C41" t="s">
        <v>85</v>
      </c>
      <c r="D41" t="str">
        <f>$AF$6</f>
        <v>R_ES-DH-SpHeat</v>
      </c>
      <c r="F41">
        <f>Q41</f>
        <v>2011</v>
      </c>
      <c r="G41">
        <v>1</v>
      </c>
      <c r="H41" s="18">
        <f>'Generalized Data'!$C$3</f>
        <v>6.3071999999999999</v>
      </c>
      <c r="I41" s="4">
        <f>'Generalized Data'!C49</f>
        <v>2.2516985919999999</v>
      </c>
      <c r="K41" s="4">
        <f>'Generalized Data'!E49</f>
        <v>39.40472536</v>
      </c>
      <c r="M41" s="3">
        <f>'Generalized Data'!G49</f>
        <v>0.84</v>
      </c>
      <c r="N41" s="3"/>
      <c r="O41" s="3"/>
      <c r="P41" s="2">
        <f>'Generalized Data'!M49</f>
        <v>15</v>
      </c>
      <c r="Q41" s="91">
        <v>2011</v>
      </c>
      <c r="R41" s="78"/>
      <c r="T41" s="78"/>
      <c r="AA41" s="23"/>
      <c r="AB41" s="23"/>
    </row>
    <row r="42" spans="2:28" x14ac:dyDescent="0.2">
      <c r="B42" t="str">
        <f>"R_ES-SH-DH_"&amp;RIGHT(C42,3)&amp;"02"</f>
        <v>R_ES-SH-DH_LPG02</v>
      </c>
      <c r="C42" t="s">
        <v>85</v>
      </c>
      <c r="D42" t="str">
        <f>$AF$6</f>
        <v>R_ES-DH-SpHeat</v>
      </c>
      <c r="F42">
        <f>Q42</f>
        <v>2011</v>
      </c>
      <c r="G42">
        <v>1</v>
      </c>
      <c r="H42" s="18">
        <f>'Generalized Data'!$C$4</f>
        <v>31.536000000000001</v>
      </c>
      <c r="I42" s="4">
        <f>'Generalized Data'!C50</f>
        <v>8.2749923256000013</v>
      </c>
      <c r="K42" s="4">
        <f>'Generalized Data'!E50</f>
        <v>165.499846512</v>
      </c>
      <c r="M42" s="3">
        <f>'Generalized Data'!G50</f>
        <v>0.88</v>
      </c>
      <c r="N42" s="3"/>
      <c r="O42" s="3"/>
      <c r="P42" s="2">
        <f>'Generalized Data'!M50</f>
        <v>20</v>
      </c>
      <c r="Q42" s="91">
        <v>2011</v>
      </c>
      <c r="R42" s="78"/>
      <c r="T42" s="78"/>
      <c r="AA42" s="23"/>
      <c r="AB42" s="23"/>
    </row>
    <row r="43" spans="2:28" x14ac:dyDescent="0.2">
      <c r="B43" t="str">
        <f>"R_ES-SH-DH_"&amp;RIGHT(C43,3)&amp;"03"</f>
        <v>R_ES-SH-DH_LPG03</v>
      </c>
      <c r="C43" t="s">
        <v>85</v>
      </c>
      <c r="D43" t="str">
        <f>$AF$6</f>
        <v>R_ES-DH-SpHeat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Data'!C51</f>
        <v>9.1024915581599988</v>
      </c>
      <c r="K43" s="4">
        <f>'Generalized Data'!E51</f>
        <v>182.04983116319997</v>
      </c>
      <c r="M43" s="3">
        <f>'Generalized Data'!G51</f>
        <v>0.91</v>
      </c>
      <c r="N43" s="3">
        <f>'Generalized Data'!H51</f>
        <v>0.65934065934065933</v>
      </c>
      <c r="O43" s="3"/>
      <c r="P43" s="2">
        <f>'Generalized Data'!M51</f>
        <v>20</v>
      </c>
      <c r="Q43" s="91">
        <v>2011</v>
      </c>
      <c r="R43" s="78"/>
      <c r="T43" s="78"/>
      <c r="AA43" s="23"/>
      <c r="AB43" s="23"/>
    </row>
    <row r="44" spans="2:28" x14ac:dyDescent="0.2">
      <c r="D44" t="str">
        <f>$AF$7</f>
        <v>R_ES-DH-WatHeat</v>
      </c>
      <c r="H44" s="18"/>
      <c r="I44" s="4"/>
      <c r="K44" s="4"/>
      <c r="M44" s="3"/>
      <c r="N44" s="3"/>
      <c r="O44" s="3"/>
      <c r="P44" s="2"/>
      <c r="R44" s="78"/>
      <c r="T44" s="78"/>
      <c r="AA44" s="23" t="str">
        <f t="shared" si="2"/>
        <v/>
      </c>
      <c r="AB44" s="23" t="str">
        <f t="shared" si="3"/>
        <v/>
      </c>
    </row>
    <row r="45" spans="2:28" x14ac:dyDescent="0.2">
      <c r="B45" t="str">
        <f>"R_ES-SH-DH_"&amp;RIGHT(C45,3)&amp;"04"</f>
        <v>R_ES-SH-DH_LPG04</v>
      </c>
      <c r="C45" t="s">
        <v>85</v>
      </c>
      <c r="D45" t="str">
        <f>$AF$6</f>
        <v>R_ES-DH-SpHeat</v>
      </c>
      <c r="F45">
        <f>Q45</f>
        <v>2011</v>
      </c>
      <c r="H45" s="18">
        <f>'Generalized Data'!$C$4</f>
        <v>31.536000000000001</v>
      </c>
      <c r="I45" s="4">
        <f>'Generalized Data'!C52</f>
        <v>49.6</v>
      </c>
      <c r="J45" s="4">
        <f>'Generalized Data'!D52</f>
        <v>40.052</v>
      </c>
      <c r="K45" s="4">
        <f>'Generalized Data'!E52</f>
        <v>1240</v>
      </c>
      <c r="L45" s="4">
        <f>'Generalized Data'!F52</f>
        <v>1001.3</v>
      </c>
      <c r="M45" s="4">
        <v>1</v>
      </c>
      <c r="N45" s="3"/>
      <c r="P45" s="2">
        <f>'Generalized Data'!M52</f>
        <v>20</v>
      </c>
      <c r="Q45" s="91">
        <v>2011</v>
      </c>
      <c r="R45" s="78">
        <f>R35</f>
        <v>0.9</v>
      </c>
      <c r="T45" s="78">
        <f>T35</f>
        <v>1.5</v>
      </c>
      <c r="U45" s="78">
        <f>U35</f>
        <v>1.5</v>
      </c>
      <c r="V45" s="78">
        <f>V35</f>
        <v>1.5</v>
      </c>
      <c r="W45" s="78">
        <f>W35</f>
        <v>1.5</v>
      </c>
      <c r="X45">
        <v>0.15</v>
      </c>
      <c r="Y45">
        <v>999</v>
      </c>
      <c r="Z45">
        <v>0.6</v>
      </c>
      <c r="AA45" s="23">
        <f t="shared" si="2"/>
        <v>49.6</v>
      </c>
      <c r="AB45" s="23">
        <f t="shared" si="3"/>
        <v>1240</v>
      </c>
    </row>
    <row r="46" spans="2:28" x14ac:dyDescent="0.2">
      <c r="D46" t="s">
        <v>402</v>
      </c>
      <c r="H46" s="18"/>
      <c r="I46" s="4"/>
      <c r="J46" s="4"/>
      <c r="K46" s="4"/>
      <c r="L46" s="4"/>
      <c r="M46" s="3"/>
      <c r="N46" s="3"/>
      <c r="P46" s="2"/>
      <c r="R46" s="78"/>
      <c r="T46" s="78"/>
      <c r="AA46" s="23" t="str">
        <f t="shared" si="2"/>
        <v/>
      </c>
      <c r="AB46" s="23" t="str">
        <f t="shared" si="3"/>
        <v/>
      </c>
    </row>
    <row r="47" spans="2:28" x14ac:dyDescent="0.2">
      <c r="B47" t="str">
        <f>"R_ES-SH-DH_"&amp;RIGHT(C47,3)&amp;"05"</f>
        <v>R_ES-SH-DH_LPG05</v>
      </c>
      <c r="C47" t="s">
        <v>85</v>
      </c>
      <c r="D47" t="str">
        <f>$AF$6</f>
        <v>R_ES-DH-SpHeat</v>
      </c>
      <c r="F47">
        <f>Q47</f>
        <v>2011</v>
      </c>
      <c r="H47" s="18">
        <f>'Generalized Data'!$C$4</f>
        <v>31.536000000000001</v>
      </c>
      <c r="I47" s="4">
        <f>'Generalized Data'!C53</f>
        <v>61.6</v>
      </c>
      <c r="J47" s="4">
        <f>'Generalized Data'!D53</f>
        <v>62.261999999999993</v>
      </c>
      <c r="K47" s="4">
        <f>'Generalized Data'!E53</f>
        <v>1540</v>
      </c>
      <c r="L47" s="4">
        <f>'Generalized Data'!F53</f>
        <v>1244.3</v>
      </c>
      <c r="M47" s="4">
        <v>1</v>
      </c>
      <c r="N47" s="3"/>
      <c r="P47" s="2">
        <f>'Generalized Data'!M53</f>
        <v>20</v>
      </c>
      <c r="Q47" s="91">
        <v>2011</v>
      </c>
      <c r="R47" s="79">
        <f>R37</f>
        <v>1</v>
      </c>
      <c r="S47" s="79">
        <f>S37</f>
        <v>2</v>
      </c>
      <c r="U47" s="79"/>
      <c r="V47" s="79"/>
      <c r="W47" s="79"/>
      <c r="X47">
        <v>0.15</v>
      </c>
      <c r="Y47">
        <v>999</v>
      </c>
      <c r="Z47">
        <v>0.6</v>
      </c>
      <c r="AA47" s="23">
        <f t="shared" si="2"/>
        <v>61.6</v>
      </c>
      <c r="AB47" s="23">
        <f t="shared" si="3"/>
        <v>1540</v>
      </c>
    </row>
    <row r="48" spans="2:28" x14ac:dyDescent="0.2">
      <c r="D48" t="s">
        <v>402</v>
      </c>
      <c r="H48" s="18"/>
      <c r="I48" s="4"/>
      <c r="K48" s="4"/>
      <c r="M48" s="3"/>
      <c r="N48" s="3"/>
      <c r="P48" s="2"/>
      <c r="R48" s="78"/>
      <c r="T48" s="78"/>
      <c r="U48" s="78"/>
      <c r="V48" s="78"/>
      <c r="W48" s="78"/>
    </row>
    <row r="49" spans="2:23" x14ac:dyDescent="0.2">
      <c r="B49" t="str">
        <f>"R_ES-SH-DH_"&amp;RIGHT(C49,3)&amp;"01"</f>
        <v>R_ES-SH-DH_HET01</v>
      </c>
      <c r="C49" s="30" t="s">
        <v>179</v>
      </c>
      <c r="D49" t="str">
        <f>$AF$6</f>
        <v>R_ES-DH-SpHeat</v>
      </c>
      <c r="F49">
        <f>Q49</f>
        <v>2011</v>
      </c>
      <c r="G49">
        <v>1</v>
      </c>
      <c r="H49" s="18">
        <f>'Generalized Data'!$C$4</f>
        <v>31.536000000000001</v>
      </c>
      <c r="I49" s="4">
        <f>'Generalized Data'!C54</f>
        <v>9.0067943679999996</v>
      </c>
      <c r="K49" s="4">
        <f>'Generalized Data'!E54</f>
        <v>237.55420145599999</v>
      </c>
      <c r="M49" s="3">
        <f>'Generalized Data'!G54</f>
        <v>0.95</v>
      </c>
      <c r="N49" s="3">
        <f>'Generalized Data'!H54</f>
        <v>0.81914893617021278</v>
      </c>
      <c r="O49" s="3"/>
      <c r="P49" s="2">
        <f>'Generalized Data'!M54</f>
        <v>20</v>
      </c>
      <c r="Q49" s="91">
        <v>2011</v>
      </c>
      <c r="R49" s="78"/>
      <c r="T49" s="78"/>
      <c r="U49" s="78"/>
      <c r="V49" s="78"/>
      <c r="W49" s="78"/>
    </row>
    <row r="50" spans="2:23" x14ac:dyDescent="0.2">
      <c r="D50" t="str">
        <f>$AF$7</f>
        <v>R_ES-DH-WatHeat</v>
      </c>
      <c r="H50" s="18"/>
      <c r="I50" s="4"/>
      <c r="K50" s="4"/>
      <c r="M50" s="3"/>
      <c r="N50" s="3"/>
      <c r="O50" s="3"/>
      <c r="P50" s="2"/>
      <c r="R50" s="78"/>
      <c r="T50" s="78"/>
      <c r="U50" s="78"/>
      <c r="V50" s="78"/>
      <c r="W50" s="78"/>
    </row>
    <row r="51" spans="2:23" x14ac:dyDescent="0.2">
      <c r="B51" t="str">
        <f>"R_ES-SH-DH_"&amp;RIGHT(C51,3)&amp;"01"</f>
        <v>R_ES-SH-DH_OIL01</v>
      </c>
      <c r="C51" t="s">
        <v>80</v>
      </c>
      <c r="D51" t="str">
        <f>$AF$6</f>
        <v>R_ES-DH-SpHeat</v>
      </c>
      <c r="F51">
        <f>Q51</f>
        <v>2011</v>
      </c>
      <c r="G51">
        <v>1</v>
      </c>
      <c r="H51" s="18">
        <f>'Generalized Data'!$C$3</f>
        <v>6.3071999999999999</v>
      </c>
      <c r="I51" s="4">
        <f>'Generalized Data'!C55</f>
        <v>8.4277861586285709</v>
      </c>
      <c r="K51" s="4">
        <f>'Generalized Data'!E55</f>
        <v>147.486257776</v>
      </c>
      <c r="M51" s="3">
        <f>'Generalized Data'!G55</f>
        <v>0.65</v>
      </c>
      <c r="N51" s="3"/>
      <c r="O51" s="3"/>
      <c r="P51" s="2">
        <f>'Generalized Data'!M55</f>
        <v>15</v>
      </c>
      <c r="Q51" s="91">
        <v>2011</v>
      </c>
      <c r="R51" s="78"/>
      <c r="T51" s="78"/>
      <c r="U51" s="78"/>
      <c r="V51" s="78"/>
      <c r="W51" s="78"/>
    </row>
    <row r="52" spans="2:23" x14ac:dyDescent="0.2">
      <c r="B52" t="str">
        <f>"R_ES-SH-DH_"&amp;RIGHT(C52,3)&amp;"02"</f>
        <v>R_ES-SH-DH_OIL02</v>
      </c>
      <c r="C52" t="s">
        <v>80</v>
      </c>
      <c r="D52" t="str">
        <f>$AF$6</f>
        <v>R_ES-DH-SpHeat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Data'!C56</f>
        <v>9.5</v>
      </c>
      <c r="K52" s="4">
        <f>'Generalized Data'!E56</f>
        <v>190</v>
      </c>
      <c r="M52" s="3">
        <f>'Generalized Data'!G56</f>
        <v>0.92</v>
      </c>
      <c r="N52" s="3"/>
      <c r="O52" s="3"/>
      <c r="P52" s="2">
        <f>'Generalized Data'!M56</f>
        <v>20</v>
      </c>
      <c r="Q52" s="91">
        <v>2011</v>
      </c>
      <c r="R52" s="78"/>
      <c r="T52" s="78"/>
      <c r="U52" s="78"/>
      <c r="V52" s="78"/>
      <c r="W52" s="78"/>
    </row>
    <row r="53" spans="2:23" x14ac:dyDescent="0.2">
      <c r="B53" t="str">
        <f>"R_ES-SH-DH_"&amp;RIGHT(C53,3)&amp;"03"</f>
        <v>R_ES-SH-DH_OIL03</v>
      </c>
      <c r="C53" t="s">
        <v>80</v>
      </c>
      <c r="D53" t="str">
        <f>$AF$6</f>
        <v>R_ES-DH-SpHeat</v>
      </c>
      <c r="F53">
        <f>Q53</f>
        <v>2011</v>
      </c>
      <c r="G53">
        <v>1</v>
      </c>
      <c r="H53" s="18">
        <f>'Generalized Data'!$C$4</f>
        <v>31.536000000000001</v>
      </c>
      <c r="I53" s="4">
        <f>'Generalized Data'!C57</f>
        <v>10.450000000000001</v>
      </c>
      <c r="K53" s="4">
        <f>'Generalized Data'!E57</f>
        <v>209</v>
      </c>
      <c r="M53" s="3">
        <f>'Generalized Data'!G57</f>
        <v>0.91</v>
      </c>
      <c r="N53" s="3">
        <f>'Generalized Data'!H57</f>
        <v>0.4175824175824176</v>
      </c>
      <c r="O53" s="3"/>
      <c r="P53" s="2">
        <f>'Generalized Data'!M57</f>
        <v>20</v>
      </c>
      <c r="Q53" s="91">
        <v>2011</v>
      </c>
      <c r="R53" s="78"/>
      <c r="T53" s="78"/>
      <c r="U53" s="78"/>
      <c r="V53" s="78"/>
      <c r="W53" s="78"/>
    </row>
    <row r="54" spans="2:23" x14ac:dyDescent="0.2">
      <c r="D54" t="str">
        <f>$AF$7</f>
        <v>R_ES-DH-WatHeat</v>
      </c>
      <c r="H54" s="18"/>
      <c r="I54" s="4"/>
      <c r="K54" s="4"/>
      <c r="M54" s="3"/>
      <c r="N54" s="3"/>
      <c r="O54" s="3"/>
      <c r="P54" s="2"/>
      <c r="R54" s="78"/>
      <c r="T54" s="78"/>
      <c r="U54" s="78"/>
      <c r="V54" s="78"/>
      <c r="W54" s="78"/>
    </row>
    <row r="55" spans="2:23" x14ac:dyDescent="0.2">
      <c r="B55" t="str">
        <f>"R_ES-SH-DH_"&amp;RIGHT(C55,3)&amp;"04"</f>
        <v>R_ES-SH-DH_OIL04</v>
      </c>
      <c r="C55" t="s">
        <v>80</v>
      </c>
      <c r="D55" t="str">
        <f>$AF$6</f>
        <v>R_ES-DH-SpHeat</v>
      </c>
      <c r="F55">
        <f>Q55</f>
        <v>2011</v>
      </c>
      <c r="G55">
        <v>1</v>
      </c>
      <c r="H55" s="18">
        <f>'Generalized Data'!$C$4</f>
        <v>31.536000000000001</v>
      </c>
      <c r="I55" s="4">
        <f>'Generalized Data'!C58</f>
        <v>15.7055976792</v>
      </c>
      <c r="K55" s="4">
        <f>'Generalized Data'!E58</f>
        <v>314.11195358399999</v>
      </c>
      <c r="M55" s="3">
        <f>'Generalized Data'!G58</f>
        <v>1</v>
      </c>
      <c r="N55" s="3">
        <f>'Generalized Data'!H58</f>
        <v>0.38</v>
      </c>
      <c r="O55" s="3"/>
      <c r="P55" s="2">
        <f>'Generalized Data'!M58</f>
        <v>20</v>
      </c>
      <c r="Q55" s="91">
        <v>2011</v>
      </c>
      <c r="R55" s="78"/>
      <c r="T55" s="78"/>
      <c r="U55" s="78"/>
      <c r="V55" s="78"/>
      <c r="W55" s="78"/>
    </row>
    <row r="56" spans="2:23" x14ac:dyDescent="0.2">
      <c r="D56" t="str">
        <f>$AF$7</f>
        <v>R_ES-DH-WatHeat</v>
      </c>
      <c r="H56" s="18"/>
      <c r="I56" s="4"/>
      <c r="K56" s="4"/>
      <c r="M56" s="3"/>
      <c r="N56" s="3"/>
      <c r="O56" s="3"/>
      <c r="P56" s="2"/>
      <c r="R56" s="78"/>
      <c r="T56" s="78"/>
      <c r="U56" s="78"/>
      <c r="V56" s="78"/>
      <c r="W56" s="78"/>
    </row>
    <row r="57" spans="2:23" x14ac:dyDescent="0.2">
      <c r="B57" t="str">
        <f>"R_ES-SH-DH_"&amp;RIGHT(C57,3)&amp;"08"</f>
        <v>R_ES-SH-DH_ELC08</v>
      </c>
      <c r="C57" t="s">
        <v>81</v>
      </c>
      <c r="D57" t="str">
        <f>$AF$6</f>
        <v>R_ES-DH-SpHeat</v>
      </c>
      <c r="F57">
        <f>Q57</f>
        <v>2011</v>
      </c>
      <c r="G57">
        <v>1</v>
      </c>
      <c r="H57" s="18">
        <f>'Generalized Data'!$C$4</f>
        <v>31.536000000000001</v>
      </c>
      <c r="I57" s="4">
        <f>'Generalized Data'!C59</f>
        <v>46.053599999999996</v>
      </c>
      <c r="K57" s="4">
        <f>'Generalized Data'!E59</f>
        <v>2302.6799999999998</v>
      </c>
      <c r="M57" s="3">
        <f>'Generalized Data'!G59</f>
        <v>1</v>
      </c>
      <c r="N57" s="3">
        <f>'Generalized Data'!H59</f>
        <v>0.88</v>
      </c>
      <c r="O57" s="3">
        <f>'Generalized Data'!J59</f>
        <v>0.68</v>
      </c>
      <c r="P57" s="2">
        <f>'Generalized Data'!M59</f>
        <v>20</v>
      </c>
      <c r="Q57" s="91">
        <v>2011</v>
      </c>
      <c r="R57" s="78"/>
      <c r="T57" s="78"/>
      <c r="U57" s="78"/>
      <c r="V57" s="78"/>
      <c r="W57" s="78"/>
    </row>
    <row r="58" spans="2:23" x14ac:dyDescent="0.2">
      <c r="C58" t="s">
        <v>86</v>
      </c>
      <c r="D58" t="str">
        <f>$AF$7</f>
        <v>R_ES-DH-WatHeat</v>
      </c>
      <c r="H58" s="18"/>
      <c r="I58" s="4"/>
      <c r="K58" s="4"/>
      <c r="M58" s="3"/>
      <c r="N58" s="3"/>
      <c r="O58" s="3"/>
      <c r="P58" s="2"/>
      <c r="R58" s="78"/>
      <c r="T58" s="78"/>
      <c r="U58" s="78"/>
      <c r="V58" s="78"/>
      <c r="W58" s="78"/>
    </row>
    <row r="59" spans="2:23" x14ac:dyDescent="0.2">
      <c r="B59" t="str">
        <f>"R_ES-SH-DH_"&amp;RIGHT(C59,3)&amp;"05"</f>
        <v>R_ES-SH-DH_OIL05</v>
      </c>
      <c r="C59" t="s">
        <v>80</v>
      </c>
      <c r="D59" t="str">
        <f>$AF$6</f>
        <v>R_ES-DH-SpHeat</v>
      </c>
      <c r="F59">
        <f>Q59</f>
        <v>2011</v>
      </c>
      <c r="G59">
        <v>1</v>
      </c>
      <c r="H59" s="18">
        <f>'Generalized Data'!$C$4</f>
        <v>31.536000000000001</v>
      </c>
      <c r="I59" s="4">
        <f>'Generalized Data'!C60</f>
        <v>47.64</v>
      </c>
      <c r="K59" s="4">
        <f>'Generalized Data'!E60</f>
        <v>2382</v>
      </c>
      <c r="M59" s="3">
        <f>'Generalized Data'!G60</f>
        <v>1</v>
      </c>
      <c r="N59" s="3">
        <f>'Generalized Data'!H60</f>
        <v>0.56842105263157905</v>
      </c>
      <c r="O59" s="3">
        <f>'Generalized Data'!J60</f>
        <v>0.71</v>
      </c>
      <c r="P59" s="2">
        <f>'Generalized Data'!M60</f>
        <v>20</v>
      </c>
      <c r="Q59" s="91">
        <v>2011</v>
      </c>
      <c r="R59" s="78"/>
      <c r="T59" s="78"/>
      <c r="U59" s="78"/>
      <c r="V59" s="78"/>
      <c r="W59" s="78"/>
    </row>
    <row r="60" spans="2:23" x14ac:dyDescent="0.2">
      <c r="C60" t="s">
        <v>86</v>
      </c>
      <c r="D60" t="str">
        <f>$AF$7</f>
        <v>R_ES-DH-WatHeat</v>
      </c>
      <c r="H60" s="18"/>
      <c r="I60" s="4"/>
      <c r="K60" s="4"/>
      <c r="M60" s="3"/>
      <c r="N60" s="3"/>
      <c r="O60" s="3"/>
      <c r="P60" s="2"/>
      <c r="R60" s="78"/>
      <c r="T60" s="78"/>
      <c r="U60" s="78"/>
      <c r="V60" s="78"/>
      <c r="W60" s="78"/>
    </row>
    <row r="61" spans="2:23" x14ac:dyDescent="0.2">
      <c r="B61" t="str">
        <f>"R_ES-SH-DH_"&amp;RIGHT(C61,3)&amp;"08"</f>
        <v>R_ES-SH-DH_GAS08</v>
      </c>
      <c r="C61" t="s">
        <v>83</v>
      </c>
      <c r="D61" t="str">
        <f>$AF$6</f>
        <v>R_ES-DH-SpHeat</v>
      </c>
      <c r="F61">
        <f>Q61</f>
        <v>2011</v>
      </c>
      <c r="G61">
        <v>1</v>
      </c>
      <c r="H61" s="18">
        <f>'Generalized Data'!$C$4</f>
        <v>31.536000000000001</v>
      </c>
      <c r="I61" s="4">
        <f>'Generalized Data'!C61</f>
        <v>47.64</v>
      </c>
      <c r="K61" s="4">
        <f>'Generalized Data'!E61</f>
        <v>2382</v>
      </c>
      <c r="M61" s="3">
        <f>'Generalized Data'!G61</f>
        <v>1</v>
      </c>
      <c r="N61" s="3">
        <f>'Generalized Data'!H61</f>
        <v>0.56842105263157905</v>
      </c>
      <c r="O61" s="3">
        <f>'Generalized Data'!J61</f>
        <v>0.68</v>
      </c>
      <c r="P61" s="2">
        <f>'Generalized Data'!M61</f>
        <v>20</v>
      </c>
      <c r="Q61" s="91">
        <v>2011</v>
      </c>
      <c r="R61" s="78"/>
      <c r="T61" s="78"/>
      <c r="U61" s="78"/>
      <c r="V61" s="78"/>
      <c r="W61" s="78"/>
    </row>
    <row r="62" spans="2:23" x14ac:dyDescent="0.2">
      <c r="C62" t="s">
        <v>86</v>
      </c>
      <c r="D62" t="str">
        <f>$AF$7</f>
        <v>R_ES-DH-WatHeat</v>
      </c>
      <c r="H62" s="18"/>
      <c r="I62" s="4"/>
      <c r="K62" s="4"/>
      <c r="M62" s="3"/>
      <c r="N62" s="3"/>
      <c r="O62" s="3"/>
      <c r="P62" s="2"/>
      <c r="R62" s="78"/>
      <c r="T62" s="78"/>
      <c r="U62" s="78"/>
      <c r="V62" s="78"/>
      <c r="W62" s="78"/>
    </row>
    <row r="63" spans="2:23" x14ac:dyDescent="0.2">
      <c r="B63" t="str">
        <f>"R_ES-SH-DH_"&amp;RIGHT(C63,3)&amp;"03"</f>
        <v>R_ES-SH-DH_BIO03</v>
      </c>
      <c r="C63" t="s">
        <v>79</v>
      </c>
      <c r="D63" t="str">
        <f>$AF$6</f>
        <v>R_ES-DH-SpHeat</v>
      </c>
      <c r="F63">
        <f>Q63</f>
        <v>2011</v>
      </c>
      <c r="G63">
        <v>1</v>
      </c>
      <c r="H63" s="18">
        <f>'Generalized Data'!$C$4</f>
        <v>31.536000000000001</v>
      </c>
      <c r="I63" s="4">
        <f>'Generalized Data'!C62</f>
        <v>24.35</v>
      </c>
      <c r="K63" s="4">
        <f>'Generalized Data'!E62</f>
        <v>487</v>
      </c>
      <c r="M63" s="3">
        <f>'Generalized Data'!G62</f>
        <v>0.85</v>
      </c>
      <c r="N63" s="3">
        <f>'Generalized Data'!H62</f>
        <v>0.4175824175824176</v>
      </c>
      <c r="O63" s="3"/>
      <c r="P63" s="2">
        <f>'Generalized Data'!M62</f>
        <v>20</v>
      </c>
      <c r="Q63" s="91">
        <v>2011</v>
      </c>
      <c r="R63" s="78"/>
      <c r="T63" s="78"/>
      <c r="U63" s="78"/>
      <c r="V63" s="78"/>
      <c r="W63" s="78"/>
    </row>
    <row r="64" spans="2:23" x14ac:dyDescent="0.2">
      <c r="D64" t="str">
        <f>$AF$7</f>
        <v>R_ES-DH-WatHeat</v>
      </c>
      <c r="H64" s="18"/>
      <c r="I64" s="4"/>
      <c r="K64" s="4"/>
      <c r="M64" s="3"/>
      <c r="N64" s="3"/>
      <c r="O64" s="3"/>
      <c r="R64" s="2"/>
    </row>
    <row r="65" spans="1:22" x14ac:dyDescent="0.2">
      <c r="H65" s="18"/>
      <c r="I65" s="4"/>
      <c r="J65" s="4"/>
      <c r="K65" s="3"/>
      <c r="L65" s="3"/>
      <c r="M65" s="3"/>
      <c r="Q65" s="2"/>
    </row>
    <row r="66" spans="1:22" x14ac:dyDescent="0.2">
      <c r="H66" s="18"/>
      <c r="I66" s="4"/>
      <c r="J66" s="4"/>
      <c r="K66" s="3"/>
      <c r="L66" s="3"/>
      <c r="M66" s="3"/>
      <c r="Q66" s="2"/>
    </row>
    <row r="67" spans="1:22" x14ac:dyDescent="0.2">
      <c r="A67" s="6" t="s">
        <v>278</v>
      </c>
      <c r="G67" t="s">
        <v>230</v>
      </c>
    </row>
    <row r="68" spans="1:22" x14ac:dyDescent="0.2">
      <c r="A68" s="6" t="s">
        <v>436</v>
      </c>
    </row>
    <row r="69" spans="1:22" x14ac:dyDescent="0.2">
      <c r="B69" s="1"/>
      <c r="E69" s="1" t="s">
        <v>15</v>
      </c>
      <c r="G69" s="2"/>
      <c r="H69" s="5"/>
      <c r="I69" s="4"/>
      <c r="J69" s="3"/>
      <c r="K69" s="3"/>
      <c r="L69" s="3"/>
    </row>
    <row r="70" spans="1:22" ht="39" thickBot="1" x14ac:dyDescent="0.25">
      <c r="A70" s="7" t="s">
        <v>16</v>
      </c>
      <c r="B70" s="7" t="s">
        <v>17</v>
      </c>
      <c r="C70" s="8" t="s">
        <v>19</v>
      </c>
      <c r="D70" s="8" t="s">
        <v>20</v>
      </c>
      <c r="E70" s="8" t="s">
        <v>21</v>
      </c>
      <c r="F70" s="9" t="s">
        <v>463</v>
      </c>
      <c r="G70" s="10" t="s">
        <v>23</v>
      </c>
      <c r="H70" s="12" t="s">
        <v>24</v>
      </c>
      <c r="I70" s="13" t="s">
        <v>25</v>
      </c>
      <c r="J70" s="11" t="s">
        <v>258</v>
      </c>
      <c r="K70" s="9" t="str">
        <f>CONCATENATE("CEFF~",AF7)</f>
        <v>CEFF~R_ES-DH-WatHeat</v>
      </c>
      <c r="L70" s="9" t="str">
        <f>CONCATENATE("CEFF~",AF8)</f>
        <v>CEFF~R_ES-DH-SpCool</v>
      </c>
      <c r="M70" s="10" t="s">
        <v>78</v>
      </c>
      <c r="N70" s="10" t="s">
        <v>77</v>
      </c>
      <c r="O70" s="10" t="s">
        <v>276</v>
      </c>
      <c r="P70" s="10" t="s">
        <v>26</v>
      </c>
      <c r="Q70" s="10" t="s">
        <v>29</v>
      </c>
      <c r="R70" s="10"/>
      <c r="S70" s="10"/>
      <c r="T70" s="10"/>
      <c r="U70" s="10"/>
      <c r="V70" s="10"/>
    </row>
    <row r="71" spans="1:22" x14ac:dyDescent="0.2">
      <c r="B71" t="str">
        <f>"R_ES-WH-DH_"&amp;RIGHT(C71,3)&amp;"01"</f>
        <v>R_ES-WH-DH_BIO01</v>
      </c>
      <c r="C71" t="s">
        <v>79</v>
      </c>
      <c r="D71" t="str">
        <f>$AF$7</f>
        <v>R_ES-DH-WatHeat</v>
      </c>
      <c r="E71">
        <f>Q71</f>
        <v>2011</v>
      </c>
      <c r="F71">
        <v>1</v>
      </c>
      <c r="G71" s="18">
        <f>'Generalized Data'!$C$4</f>
        <v>31.536000000000001</v>
      </c>
      <c r="H71" s="4">
        <f>'Generalized Data'!C64</f>
        <v>9.2319642272000006</v>
      </c>
      <c r="I71" s="4">
        <f>'Generalized Data'!E64</f>
        <v>184.63928454399999</v>
      </c>
      <c r="J71" s="4">
        <f>'Generalized Data'!G64</f>
        <v>0.5</v>
      </c>
      <c r="K71" s="3"/>
      <c r="L71" s="3"/>
      <c r="M71" s="3"/>
      <c r="N71" s="3"/>
      <c r="O71" s="3"/>
      <c r="P71" s="2">
        <f>'Generalized Data'!M64</f>
        <v>20</v>
      </c>
      <c r="Q71" s="91">
        <v>2011</v>
      </c>
    </row>
    <row r="72" spans="1:22" x14ac:dyDescent="0.2">
      <c r="B72" t="str">
        <f>"R_ES-WH-DH_"&amp;RIGHT(C72,3)&amp;"01"</f>
        <v>R_ES-WH-DH_ELC01</v>
      </c>
      <c r="C72" t="s">
        <v>81</v>
      </c>
      <c r="D72" t="str">
        <f>$AF$7</f>
        <v>R_ES-DH-WatHeat</v>
      </c>
      <c r="E72">
        <f>Q72</f>
        <v>2011</v>
      </c>
      <c r="F72">
        <v>1</v>
      </c>
      <c r="G72" s="18">
        <f>'Generalized Data'!$C$4</f>
        <v>31.536000000000001</v>
      </c>
      <c r="H72" s="4">
        <f>'Generalized Data'!C65</f>
        <v>1.4849999999999999</v>
      </c>
      <c r="I72" s="4">
        <f>'Generalized Data'!E65</f>
        <v>135</v>
      </c>
      <c r="J72" s="4">
        <f>'Generalized Data'!G65</f>
        <v>1</v>
      </c>
      <c r="K72" s="3"/>
      <c r="L72" s="3"/>
      <c r="M72" s="3"/>
      <c r="N72" s="3"/>
      <c r="O72" s="3"/>
      <c r="P72" s="2">
        <f>'Generalized Data'!M65</f>
        <v>15</v>
      </c>
      <c r="Q72" s="91">
        <v>2011</v>
      </c>
    </row>
    <row r="73" spans="1:22" x14ac:dyDescent="0.2">
      <c r="B73" t="str">
        <f>"R_ES-WH-DH_"&amp;RIGHT(C73,3)&amp;"02"</f>
        <v>R_ES-WH-DH_ELC02</v>
      </c>
      <c r="C73" t="s">
        <v>81</v>
      </c>
      <c r="D73" t="str">
        <f>$AF$7</f>
        <v>R_ES-DH-WatHeat</v>
      </c>
      <c r="E73">
        <f>Q73</f>
        <v>2011</v>
      </c>
      <c r="F73">
        <v>1</v>
      </c>
      <c r="G73" s="18">
        <f>'Generalized Data'!$C$4</f>
        <v>31.536000000000001</v>
      </c>
      <c r="H73" s="4">
        <f>'Generalized Data'!C66</f>
        <v>101.7</v>
      </c>
      <c r="I73" s="4">
        <f>'Generalized Data'!E66</f>
        <v>2034</v>
      </c>
      <c r="J73" s="4">
        <f>'Generalized Data'!G66</f>
        <v>1</v>
      </c>
      <c r="K73" s="4"/>
      <c r="L73" s="4"/>
      <c r="N73" s="4">
        <f>'Generalized Data'!J66</f>
        <v>0.57264957264957261</v>
      </c>
      <c r="O73" s="4"/>
      <c r="P73" s="2">
        <f>'Generalized Data'!M66</f>
        <v>15</v>
      </c>
      <c r="Q73" s="91">
        <v>2011</v>
      </c>
    </row>
    <row r="74" spans="1:22" x14ac:dyDescent="0.2">
      <c r="C74" t="s">
        <v>82</v>
      </c>
      <c r="G74" s="18"/>
      <c r="H74" s="4"/>
      <c r="I74" s="4"/>
      <c r="J74" s="4"/>
      <c r="K74" s="3"/>
      <c r="L74" s="3"/>
      <c r="M74" s="3"/>
      <c r="N74" s="3"/>
      <c r="O74" s="3"/>
      <c r="P74" s="2"/>
    </row>
    <row r="75" spans="1:22" x14ac:dyDescent="0.2">
      <c r="B75" t="str">
        <f>"R_ES-WH-DH_"&amp;RIGHT(C75,3)&amp;"01"</f>
        <v>R_ES-WH-DH_GAS01</v>
      </c>
      <c r="C75" t="s">
        <v>83</v>
      </c>
      <c r="D75" t="str">
        <f>$AF$7</f>
        <v>R_ES-DH-WatHeat</v>
      </c>
      <c r="E75">
        <f>Q75</f>
        <v>2011</v>
      </c>
      <c r="F75">
        <v>1</v>
      </c>
      <c r="G75" s="18">
        <f>'Generalized Data'!$C$4</f>
        <v>31.536000000000001</v>
      </c>
      <c r="H75" s="4">
        <f>'Generalized Data'!C67</f>
        <v>7.65</v>
      </c>
      <c r="I75" s="4">
        <f>'Generalized Data'!E67</f>
        <v>153</v>
      </c>
      <c r="J75" s="4">
        <f>'Generalized Data'!G67</f>
        <v>0.76</v>
      </c>
      <c r="K75" s="4"/>
      <c r="L75" s="4"/>
      <c r="M75" s="4"/>
      <c r="N75" s="4"/>
      <c r="O75" s="3"/>
      <c r="P75" s="2">
        <f>'Generalized Data'!M67</f>
        <v>15</v>
      </c>
      <c r="Q75" s="91">
        <v>2011</v>
      </c>
    </row>
    <row r="76" spans="1:22" x14ac:dyDescent="0.2">
      <c r="B76" t="str">
        <f>"R_ES-WH-DH_"&amp;RIGHT(C76,3)&amp;"01"</f>
        <v>R_ES-WH-DH_GEO01</v>
      </c>
      <c r="C76" t="s">
        <v>84</v>
      </c>
      <c r="D76" t="str">
        <f>$AF$7</f>
        <v>R_ES-DH-WatHeat</v>
      </c>
      <c r="E76">
        <f>Q76</f>
        <v>2011</v>
      </c>
      <c r="F76">
        <v>1</v>
      </c>
      <c r="G76" s="18">
        <f>'Generalized Data'!$C$4</f>
        <v>31.536000000000001</v>
      </c>
      <c r="H76" s="4">
        <f>'Generalized Data'!C68</f>
        <v>20.265287327999999</v>
      </c>
      <c r="I76" s="4">
        <f>'Generalized Data'!E68</f>
        <v>1031.2779551359999</v>
      </c>
      <c r="J76" s="4">
        <f>'Generalized Data'!G68</f>
        <v>1</v>
      </c>
      <c r="K76" s="4"/>
      <c r="L76" s="4"/>
      <c r="M76" s="4"/>
      <c r="N76" s="4"/>
      <c r="O76" s="4"/>
      <c r="P76" s="2">
        <f>'Generalized Data'!M68</f>
        <v>20</v>
      </c>
      <c r="Q76" s="91">
        <v>2011</v>
      </c>
    </row>
    <row r="77" spans="1:22" x14ac:dyDescent="0.2">
      <c r="B77" t="str">
        <f>"R_ES-WH-DH_"&amp;RIGHT(C77,3)&amp;"01"</f>
        <v>R_ES-WH-DH_LPG01</v>
      </c>
      <c r="C77" t="s">
        <v>85</v>
      </c>
      <c r="D77" t="str">
        <f>$AF$7</f>
        <v>R_ES-DH-WatHeat</v>
      </c>
      <c r="E77">
        <f>Q77</f>
        <v>2011</v>
      </c>
      <c r="F77">
        <v>1</v>
      </c>
      <c r="G77" s="18">
        <f>'Generalized Data'!$C$4</f>
        <v>31.536000000000001</v>
      </c>
      <c r="H77" s="4">
        <f>'Generalized Data'!C69</f>
        <v>3.0397930992000002</v>
      </c>
      <c r="I77" s="4">
        <f>'Generalized Data'!E69</f>
        <v>60.795861983999998</v>
      </c>
      <c r="J77" s="4">
        <f>'Generalized Data'!G69</f>
        <v>0.73</v>
      </c>
      <c r="K77" s="3"/>
      <c r="L77" s="3"/>
      <c r="M77" s="3"/>
      <c r="N77" s="3"/>
      <c r="O77" s="3"/>
      <c r="P77" s="2">
        <f>'Generalized Data'!M69</f>
        <v>15</v>
      </c>
      <c r="Q77" s="91">
        <v>2011</v>
      </c>
    </row>
    <row r="78" spans="1:22" x14ac:dyDescent="0.2">
      <c r="B78" t="str">
        <f>"R_ES-WH-DH_"&amp;RIGHT(C78,3)&amp;"01"</f>
        <v>R_ES-WH-DH_OIL01</v>
      </c>
      <c r="C78" t="s">
        <v>80</v>
      </c>
      <c r="D78" t="str">
        <f>$AF$7</f>
        <v>R_ES-DH-WatHeat</v>
      </c>
      <c r="E78">
        <f>Q78</f>
        <v>2011</v>
      </c>
      <c r="F78">
        <v>1</v>
      </c>
      <c r="G78" s="18">
        <f>'Generalized Data'!$C$4</f>
        <v>31.536000000000001</v>
      </c>
      <c r="H78" s="4">
        <f>'Generalized Data'!C70</f>
        <v>8.5</v>
      </c>
      <c r="I78" s="4">
        <f>'Generalized Data'!E70</f>
        <v>170</v>
      </c>
      <c r="J78" s="4">
        <f>'Generalized Data'!G70</f>
        <v>0.7</v>
      </c>
      <c r="K78" s="3"/>
      <c r="L78" s="3"/>
      <c r="M78" s="3"/>
      <c r="N78" s="3"/>
      <c r="O78" s="3"/>
      <c r="P78" s="2">
        <f>'Generalized Data'!M70</f>
        <v>15</v>
      </c>
      <c r="Q78" s="91">
        <v>2011</v>
      </c>
    </row>
    <row r="79" spans="1:22" x14ac:dyDescent="0.2">
      <c r="B79" t="str">
        <f>"R_ES-WH-DH_"&amp;RIGHT(C79,3)&amp;"03"</f>
        <v>R_ES-WH-DH_ELC03</v>
      </c>
      <c r="C79" t="s">
        <v>81</v>
      </c>
      <c r="D79" t="str">
        <f>$AF$7</f>
        <v>R_ES-DH-WatHeat</v>
      </c>
      <c r="E79">
        <f>Q79</f>
        <v>2011</v>
      </c>
      <c r="F79">
        <v>1</v>
      </c>
      <c r="G79" s="18">
        <f>'Generalized Data'!$C$4</f>
        <v>31.536000000000001</v>
      </c>
      <c r="H79" s="4">
        <f>'Generalized Data'!C71</f>
        <v>41.26</v>
      </c>
      <c r="I79" s="4">
        <f>'Generalized Data'!E71</f>
        <v>2063</v>
      </c>
      <c r="J79" s="50">
        <f>'Generalized Data'!G71</f>
        <v>1</v>
      </c>
      <c r="K79" s="4"/>
      <c r="L79" s="4"/>
      <c r="M79" s="4">
        <f>'Generalized Data'!J71</f>
        <v>0.5</v>
      </c>
      <c r="N79" s="4"/>
      <c r="O79" s="4"/>
      <c r="P79" s="2">
        <f>'Generalized Data'!M71</f>
        <v>15</v>
      </c>
      <c r="Q79" s="91">
        <v>2011</v>
      </c>
    </row>
    <row r="80" spans="1:22" x14ac:dyDescent="0.2">
      <c r="C80" t="s">
        <v>86</v>
      </c>
      <c r="E80">
        <v>2020</v>
      </c>
      <c r="G80" s="18"/>
      <c r="H80" s="4"/>
      <c r="I80" s="4">
        <f>'Generalized Data'!K71</f>
        <v>1358</v>
      </c>
      <c r="J80" s="4"/>
      <c r="K80" s="3"/>
      <c r="L80" s="3"/>
      <c r="M80" s="3"/>
      <c r="N80" s="3"/>
      <c r="O80" s="3"/>
      <c r="P80" s="2"/>
    </row>
    <row r="81" spans="1:22" x14ac:dyDescent="0.2">
      <c r="B81" t="str">
        <f>"R_ES-WH-DH_"&amp;RIGHT(C81,3)&amp;"02"</f>
        <v>R_ES-WH-DH_OIL02</v>
      </c>
      <c r="C81" t="s">
        <v>80</v>
      </c>
      <c r="D81" t="str">
        <f>$AF$7</f>
        <v>R_ES-DH-WatHeat</v>
      </c>
      <c r="E81">
        <f>Q81</f>
        <v>2011</v>
      </c>
      <c r="F81">
        <v>1</v>
      </c>
      <c r="G81" s="18">
        <f>'Generalized Data'!$C$4</f>
        <v>31.536000000000001</v>
      </c>
      <c r="H81" s="4">
        <f>'Generalized Data'!C72</f>
        <v>41.62</v>
      </c>
      <c r="I81" s="4">
        <f>'Generalized Data'!E72</f>
        <v>2081</v>
      </c>
      <c r="J81" s="4">
        <f>'Generalized Data'!G72</f>
        <v>1</v>
      </c>
      <c r="K81" s="4"/>
      <c r="L81" s="4"/>
      <c r="M81" s="4">
        <f>'Generalized Data'!J72</f>
        <v>0.5</v>
      </c>
      <c r="N81" s="4"/>
      <c r="O81" s="3"/>
      <c r="P81" s="2">
        <f>'Generalized Data'!M72</f>
        <v>15</v>
      </c>
      <c r="Q81" s="91">
        <v>2011</v>
      </c>
    </row>
    <row r="82" spans="1:22" x14ac:dyDescent="0.2">
      <c r="C82" t="s">
        <v>86</v>
      </c>
      <c r="E82">
        <v>2020</v>
      </c>
      <c r="G82" s="18"/>
      <c r="H82" s="4"/>
      <c r="I82" s="4">
        <f>'Generalized Data'!K72</f>
        <v>733</v>
      </c>
      <c r="J82" s="4"/>
      <c r="K82" s="3"/>
      <c r="L82" s="3"/>
      <c r="M82" s="3"/>
      <c r="N82" s="3"/>
      <c r="O82" s="3"/>
      <c r="P82" s="2"/>
    </row>
    <row r="83" spans="1:22" x14ac:dyDescent="0.2">
      <c r="B83" t="str">
        <f>"R_ES-WH-DH_"&amp;RIGHT(C83,3)&amp;"02"</f>
        <v>R_ES-WH-DH_GAS02</v>
      </c>
      <c r="C83" t="s">
        <v>83</v>
      </c>
      <c r="D83" t="str">
        <f>$AF$7</f>
        <v>R_ES-DH-WatHeat</v>
      </c>
      <c r="E83">
        <f>Q83</f>
        <v>2011</v>
      </c>
      <c r="F83">
        <v>1</v>
      </c>
      <c r="G83" s="18">
        <f>'Generalized Data'!$C$4</f>
        <v>31.536000000000001</v>
      </c>
      <c r="H83" s="4">
        <f>'Generalized Data'!C73</f>
        <v>41.62</v>
      </c>
      <c r="I83" s="4">
        <f>'Generalized Data'!E73</f>
        <v>2081</v>
      </c>
      <c r="J83" s="4">
        <f>'Generalized Data'!G73</f>
        <v>1</v>
      </c>
      <c r="K83" s="4"/>
      <c r="L83" s="4"/>
      <c r="M83" s="4">
        <f>'Generalized Data'!J73</f>
        <v>0.5</v>
      </c>
      <c r="N83" s="4"/>
      <c r="O83" s="4"/>
      <c r="P83" s="2">
        <f>'Generalized Data'!M73</f>
        <v>15</v>
      </c>
      <c r="Q83" s="91">
        <v>2011</v>
      </c>
    </row>
    <row r="84" spans="1:22" x14ac:dyDescent="0.2">
      <c r="C84" t="s">
        <v>86</v>
      </c>
      <c r="E84">
        <v>2020</v>
      </c>
      <c r="G84" s="18"/>
      <c r="H84" s="4"/>
      <c r="I84" s="4">
        <f>'Generalized Data'!K73</f>
        <v>834</v>
      </c>
      <c r="J84" s="4"/>
      <c r="K84" s="3"/>
      <c r="L84" s="3"/>
      <c r="M84" s="3"/>
      <c r="N84" s="3"/>
      <c r="O84" s="3"/>
      <c r="P84" s="2"/>
    </row>
    <row r="85" spans="1:22" x14ac:dyDescent="0.2">
      <c r="G85" s="18"/>
      <c r="H85" s="4"/>
      <c r="I85" s="4"/>
      <c r="J85" s="4"/>
      <c r="K85" s="3"/>
      <c r="L85" s="3"/>
      <c r="M85" s="3"/>
      <c r="N85" s="3"/>
      <c r="O85" s="3"/>
      <c r="P85" s="2"/>
    </row>
    <row r="86" spans="1:22" x14ac:dyDescent="0.2">
      <c r="G86" s="18"/>
      <c r="H86" s="4"/>
      <c r="I86" s="4"/>
      <c r="J86" s="4"/>
      <c r="K86" s="3"/>
      <c r="L86" s="3"/>
      <c r="M86" s="3"/>
      <c r="N86" s="3"/>
      <c r="O86" s="3"/>
      <c r="P86" s="2"/>
    </row>
    <row r="87" spans="1:22" x14ac:dyDescent="0.2">
      <c r="G87" s="18"/>
      <c r="H87" s="4"/>
      <c r="I87" s="4"/>
      <c r="J87" s="4"/>
      <c r="K87" s="3"/>
      <c r="L87" s="3"/>
      <c r="M87" s="3"/>
      <c r="N87" s="3"/>
      <c r="O87" s="3"/>
      <c r="P87" s="2"/>
    </row>
    <row r="88" spans="1:22" x14ac:dyDescent="0.2">
      <c r="A88" s="6" t="s">
        <v>279</v>
      </c>
      <c r="G88" t="s">
        <v>230</v>
      </c>
    </row>
    <row r="89" spans="1:22" x14ac:dyDescent="0.2">
      <c r="A89" s="6" t="s">
        <v>436</v>
      </c>
    </row>
    <row r="90" spans="1:22" x14ac:dyDescent="0.2">
      <c r="B90" s="1"/>
      <c r="E90" s="1" t="s">
        <v>15</v>
      </c>
      <c r="G90" s="2"/>
      <c r="H90" s="5"/>
      <c r="I90" s="4"/>
      <c r="J90" s="3"/>
      <c r="K90" s="3"/>
      <c r="L90" s="3"/>
    </row>
    <row r="91" spans="1:22" ht="39" thickBot="1" x14ac:dyDescent="0.25">
      <c r="A91" s="7" t="s">
        <v>16</v>
      </c>
      <c r="B91" s="7" t="s">
        <v>17</v>
      </c>
      <c r="C91" s="8" t="s">
        <v>19</v>
      </c>
      <c r="D91" s="8" t="s">
        <v>20</v>
      </c>
      <c r="E91" s="8" t="s">
        <v>21</v>
      </c>
      <c r="F91" s="9" t="s">
        <v>463</v>
      </c>
      <c r="G91" s="10" t="s">
        <v>23</v>
      </c>
      <c r="H91" s="12" t="s">
        <v>24</v>
      </c>
      <c r="I91" s="13" t="s">
        <v>25</v>
      </c>
      <c r="J91" s="11" t="s">
        <v>258</v>
      </c>
      <c r="K91" s="9" t="str">
        <f>CONCATENATE("CEFF~",AF7)</f>
        <v>CEFF~R_ES-DH-WatHeat</v>
      </c>
      <c r="L91" s="9" t="str">
        <f>CONCATENATE("CEFF~",AF8)</f>
        <v>CEFF~R_ES-DH-SpCool</v>
      </c>
      <c r="M91" s="10" t="s">
        <v>78</v>
      </c>
      <c r="N91" s="10" t="s">
        <v>77</v>
      </c>
      <c r="O91" s="10" t="s">
        <v>276</v>
      </c>
      <c r="P91" s="10" t="s">
        <v>26</v>
      </c>
      <c r="Q91" s="10" t="s">
        <v>29</v>
      </c>
      <c r="R91" s="10"/>
      <c r="S91" s="10"/>
      <c r="T91" s="10"/>
      <c r="U91" s="10"/>
      <c r="V91" s="10"/>
    </row>
    <row r="92" spans="1:22" x14ac:dyDescent="0.2">
      <c r="B92" t="str">
        <f>"R_ES-SC-DH_"&amp;RIGHT(C92,3)&amp;"01"</f>
        <v>R_ES-SC-DH_ELC01</v>
      </c>
      <c r="C92" t="s">
        <v>81</v>
      </c>
      <c r="D92" t="str">
        <f>$AF$8</f>
        <v>R_ES-DH-SpCool</v>
      </c>
      <c r="E92">
        <f>Q92</f>
        <v>2011</v>
      </c>
      <c r="F92">
        <v>1</v>
      </c>
      <c r="G92" s="18">
        <f>'Generalized Data'!$C$3</f>
        <v>6.3071999999999999</v>
      </c>
      <c r="H92" s="4">
        <f>'Generalized Data'!C76</f>
        <v>24.05</v>
      </c>
      <c r="I92" s="4">
        <f>'Generalized Data'!E76</f>
        <v>481</v>
      </c>
      <c r="J92" s="4">
        <f>'Generalized Data'!G76</f>
        <v>2.0249999999999999</v>
      </c>
      <c r="K92" s="4"/>
      <c r="L92" s="4"/>
      <c r="M92" s="4"/>
      <c r="N92" s="4"/>
      <c r="O92" s="4"/>
      <c r="P92" s="2">
        <f>'Generalized Data'!M76</f>
        <v>10</v>
      </c>
      <c r="Q92" s="91">
        <v>2011</v>
      </c>
    </row>
    <row r="93" spans="1:22" x14ac:dyDescent="0.2">
      <c r="B93" t="str">
        <f>"R_ES-SC-DH_"&amp;RIGHT(C93,3)&amp;"02"</f>
        <v>R_ES-SC-DH_ELC02</v>
      </c>
      <c r="C93" t="s">
        <v>81</v>
      </c>
      <c r="D93" t="str">
        <f t="shared" ref="D93:D99" si="4">$AF$8</f>
        <v>R_ES-DH-SpCool</v>
      </c>
      <c r="E93">
        <f t="shared" ref="E93:E99" si="5">Q93</f>
        <v>2011</v>
      </c>
      <c r="F93">
        <v>1</v>
      </c>
      <c r="G93" s="18">
        <f>'Generalized Data'!$C$3</f>
        <v>6.3071999999999999</v>
      </c>
      <c r="H93" s="4">
        <f>'Generalized Data'!C77</f>
        <v>7.5994827479999998</v>
      </c>
      <c r="I93" s="4">
        <f>'Generalized Data'!E77</f>
        <v>151.98965496</v>
      </c>
      <c r="J93" s="4">
        <f>'Generalized Data'!G77</f>
        <v>0.4</v>
      </c>
      <c r="K93" s="4"/>
      <c r="L93" s="4"/>
      <c r="M93" s="4"/>
      <c r="N93" s="4"/>
      <c r="O93" s="4"/>
      <c r="P93" s="2">
        <f>'Generalized Data'!M77</f>
        <v>10</v>
      </c>
      <c r="Q93" s="91">
        <v>2011</v>
      </c>
    </row>
    <row r="94" spans="1:22" x14ac:dyDescent="0.2">
      <c r="B94" t="str">
        <f>"R_ES-SC-DH_"&amp;RIGHT(C94,3)&amp;"03"</f>
        <v>R_ES-SC-DH_ELC03</v>
      </c>
      <c r="C94" t="s">
        <v>81</v>
      </c>
      <c r="D94" t="str">
        <f t="shared" si="4"/>
        <v>R_ES-DH-SpCool</v>
      </c>
      <c r="E94">
        <f t="shared" si="5"/>
        <v>2011</v>
      </c>
      <c r="F94">
        <v>1</v>
      </c>
      <c r="G94" s="18">
        <f>'Generalized Data'!$C$3</f>
        <v>6.3071999999999999</v>
      </c>
      <c r="H94" s="4">
        <f>'Generalized Data'!C78</f>
        <v>4.5596896488000001</v>
      </c>
      <c r="I94" s="4">
        <f>'Generalized Data'!E78</f>
        <v>91.193792975999997</v>
      </c>
      <c r="J94" s="4">
        <f>'Generalized Data'!G78</f>
        <v>3.1</v>
      </c>
      <c r="K94" s="4"/>
      <c r="L94" s="4"/>
      <c r="M94" s="4"/>
      <c r="N94" s="4"/>
      <c r="O94" s="4"/>
      <c r="P94" s="2">
        <f>'Generalized Data'!M78</f>
        <v>10</v>
      </c>
      <c r="Q94" s="91">
        <v>2011</v>
      </c>
    </row>
    <row r="95" spans="1:22" x14ac:dyDescent="0.2">
      <c r="B95" t="str">
        <f>"R_ES-SC-DH_"&amp;RIGHT(C95,3)&amp;"04"</f>
        <v>R_ES-SC-DH_ELC04</v>
      </c>
      <c r="C95" t="s">
        <v>81</v>
      </c>
      <c r="D95" t="str">
        <f t="shared" si="4"/>
        <v>R_ES-DH-SpCool</v>
      </c>
      <c r="E95">
        <f t="shared" si="5"/>
        <v>2011</v>
      </c>
      <c r="F95">
        <v>1</v>
      </c>
      <c r="G95" s="18">
        <f>'Generalized Data'!$C$4</f>
        <v>31.536000000000001</v>
      </c>
      <c r="H95" s="4">
        <f>'Generalized Data'!C79</f>
        <v>16.650000000000002</v>
      </c>
      <c r="I95" s="4">
        <f>'Generalized Data'!E79</f>
        <v>333</v>
      </c>
      <c r="J95" s="4">
        <f>'Generalized Data'!G79</f>
        <v>2.93</v>
      </c>
      <c r="K95" s="4"/>
      <c r="L95" s="4"/>
      <c r="M95" s="4"/>
      <c r="N95" s="4"/>
      <c r="O95" s="4"/>
      <c r="P95" s="2">
        <f>'Generalized Data'!M79</f>
        <v>15</v>
      </c>
      <c r="Q95" s="91">
        <v>2011</v>
      </c>
    </row>
    <row r="96" spans="1:22" x14ac:dyDescent="0.2">
      <c r="B96" t="str">
        <f>"R_ES-SC-DH_"&amp;RIGHT(C96,3)&amp;"05"</f>
        <v>R_ES-SC-DH_ELC05</v>
      </c>
      <c r="C96" t="s">
        <v>81</v>
      </c>
      <c r="D96" t="str">
        <f t="shared" si="4"/>
        <v>R_ES-DH-SpCool</v>
      </c>
      <c r="E96">
        <f t="shared" si="5"/>
        <v>2011</v>
      </c>
      <c r="F96">
        <v>1</v>
      </c>
      <c r="G96" s="18">
        <f>'Generalized Data'!$C$4</f>
        <v>31.536000000000001</v>
      </c>
      <c r="H96" s="4">
        <f>'Generalized Data'!C80</f>
        <v>13.622776481599999</v>
      </c>
      <c r="I96" s="4">
        <f>'Generalized Data'!E80</f>
        <v>272.45552963199998</v>
      </c>
      <c r="J96" s="4">
        <f>'Generalized Data'!G80</f>
        <v>3.306</v>
      </c>
      <c r="K96" s="4"/>
      <c r="L96" s="4"/>
      <c r="M96" s="4"/>
      <c r="N96" s="4"/>
      <c r="O96" s="4"/>
      <c r="P96" s="2">
        <f>'Generalized Data'!M80</f>
        <v>15</v>
      </c>
      <c r="Q96" s="91">
        <v>2011</v>
      </c>
    </row>
    <row r="97" spans="2:17" x14ac:dyDescent="0.2">
      <c r="B97" t="str">
        <f>"R_ES-SC-DH_"&amp;RIGHT(C97,3)&amp;"06"</f>
        <v>R_ES-SC-DH_GAS06</v>
      </c>
      <c r="C97" t="s">
        <v>83</v>
      </c>
      <c r="D97" t="str">
        <f t="shared" si="4"/>
        <v>R_ES-DH-SpCool</v>
      </c>
      <c r="E97">
        <f t="shared" si="5"/>
        <v>2011</v>
      </c>
      <c r="F97">
        <v>1</v>
      </c>
      <c r="G97" s="18">
        <f>'Generalized Data'!$C$4</f>
        <v>31.536000000000001</v>
      </c>
      <c r="H97" s="4">
        <f>'Generalized Data'!C81</f>
        <v>97.048209315199998</v>
      </c>
      <c r="I97" s="4">
        <f>'Generalized Data'!E81</f>
        <v>1940.9641863039999</v>
      </c>
      <c r="J97" s="4">
        <f>'Generalized Data'!G81</f>
        <v>4.41</v>
      </c>
      <c r="K97" s="4"/>
      <c r="L97" s="4"/>
      <c r="M97" s="4"/>
      <c r="N97" s="4"/>
      <c r="O97" s="4"/>
      <c r="P97" s="2">
        <f>'Generalized Data'!M81</f>
        <v>15</v>
      </c>
      <c r="Q97" s="91">
        <v>2011</v>
      </c>
    </row>
    <row r="98" spans="2:17" x14ac:dyDescent="0.2">
      <c r="B98" t="str">
        <f>"R_ES-SC-DH_"&amp;RIGHT(C98,3)&amp;"07"</f>
        <v>R_ES-SC-DH_GAS07</v>
      </c>
      <c r="C98" t="s">
        <v>83</v>
      </c>
      <c r="D98" t="str">
        <f t="shared" si="4"/>
        <v>R_ES-DH-SpCool</v>
      </c>
      <c r="E98">
        <f t="shared" si="5"/>
        <v>2011</v>
      </c>
      <c r="F98">
        <v>1</v>
      </c>
      <c r="G98" s="18">
        <f>'Generalized Data'!$C$4</f>
        <v>31.536000000000001</v>
      </c>
      <c r="H98" s="4">
        <f>'Generalized Data'!C82</f>
        <v>69.127146774400003</v>
      </c>
      <c r="I98" s="4">
        <f>'Generalized Data'!E82</f>
        <v>1382.542935488</v>
      </c>
      <c r="J98" s="4">
        <f>'Generalized Data'!G82</f>
        <v>1.0349999999999999</v>
      </c>
      <c r="K98" s="4"/>
      <c r="L98" s="4"/>
      <c r="M98" s="4"/>
      <c r="N98" s="4"/>
      <c r="O98" s="4"/>
      <c r="P98" s="2">
        <f>'Generalized Data'!M82</f>
        <v>15</v>
      </c>
      <c r="Q98" s="91">
        <v>2011</v>
      </c>
    </row>
    <row r="99" spans="2:17" x14ac:dyDescent="0.2">
      <c r="B99" t="str">
        <f>"R_ES-SC-DH_"&amp;RIGHT(C99,3)&amp;"08"</f>
        <v>R_ES-SC-DH_ELC08</v>
      </c>
      <c r="C99" t="s">
        <v>81</v>
      </c>
      <c r="D99" t="str">
        <f t="shared" si="4"/>
        <v>R_ES-DH-SpCool</v>
      </c>
      <c r="E99">
        <f t="shared" si="5"/>
        <v>2011</v>
      </c>
      <c r="F99">
        <v>1</v>
      </c>
      <c r="G99" s="18">
        <f>'Generalized Data'!$C$4</f>
        <v>31.536000000000001</v>
      </c>
      <c r="H99" s="4">
        <f>'Generalized Data'!C83</f>
        <v>76.55775212799999</v>
      </c>
      <c r="I99" s="4">
        <f>'Generalized Data'!E83</f>
        <v>3827.8876063999996</v>
      </c>
      <c r="J99" s="4">
        <f>'Generalized Data'!G83</f>
        <v>0.65</v>
      </c>
      <c r="K99" s="4"/>
      <c r="L99" s="4"/>
      <c r="M99" s="4">
        <f>'Generalized Data'!Q83</f>
        <v>0.3</v>
      </c>
      <c r="P99" s="2">
        <f>'Generalized Data'!M83</f>
        <v>15</v>
      </c>
      <c r="Q99" s="91">
        <v>2011</v>
      </c>
    </row>
    <row r="100" spans="2:17" x14ac:dyDescent="0.2">
      <c r="C100" t="s">
        <v>86</v>
      </c>
      <c r="E100">
        <v>2020</v>
      </c>
      <c r="G100" s="18"/>
      <c r="H100" s="4"/>
      <c r="I100" s="4">
        <f>'Generalized Data'!K83</f>
        <v>2500</v>
      </c>
      <c r="J100" s="4">
        <f>'Generalized Data'!L83</f>
        <v>1.25</v>
      </c>
      <c r="K100" s="4"/>
      <c r="L100" s="4"/>
      <c r="M100" s="4"/>
      <c r="P100" s="2"/>
    </row>
    <row r="101" spans="2:17" x14ac:dyDescent="0.2">
      <c r="L101" s="4"/>
      <c r="M101" s="4"/>
      <c r="N101" s="4"/>
      <c r="O101" s="4"/>
      <c r="P101" s="4"/>
      <c r="Q101" s="2"/>
    </row>
    <row r="102" spans="2:17" x14ac:dyDescent="0.2">
      <c r="H102" s="18"/>
      <c r="I102" s="4"/>
      <c r="J102" s="4"/>
      <c r="K102" s="4"/>
      <c r="L102" s="4"/>
      <c r="M102" s="4"/>
      <c r="N102" s="4"/>
      <c r="O102" s="4"/>
      <c r="P102" s="4"/>
      <c r="Q102" s="2"/>
    </row>
    <row r="103" spans="2:17" x14ac:dyDescent="0.2">
      <c r="H103" s="18"/>
      <c r="I103" s="4"/>
      <c r="J103" s="4"/>
      <c r="K103" s="4"/>
      <c r="L103" s="4"/>
      <c r="M103" s="4"/>
      <c r="N103" s="4"/>
      <c r="O103" s="4"/>
      <c r="P103" s="4"/>
      <c r="Q103" s="2"/>
    </row>
    <row r="128" spans="8:19" x14ac:dyDescent="0.2">
      <c r="H128" s="18"/>
      <c r="I128" s="4"/>
      <c r="J128" s="4"/>
      <c r="K128" s="4"/>
      <c r="L128" s="4"/>
      <c r="M128" s="4"/>
      <c r="N128" s="4"/>
      <c r="O128" s="4"/>
      <c r="P128" s="4"/>
      <c r="Q128" s="2"/>
      <c r="S128" s="2"/>
    </row>
    <row r="129" spans="8:19" x14ac:dyDescent="0.2">
      <c r="H129" s="18"/>
      <c r="I129" s="4"/>
      <c r="J129" s="4"/>
      <c r="K129" s="4"/>
      <c r="L129" s="4"/>
      <c r="M129" s="4"/>
      <c r="N129" s="4"/>
      <c r="O129" s="4"/>
      <c r="P129" s="4"/>
      <c r="Q129" s="2"/>
      <c r="S129" s="2"/>
    </row>
    <row r="130" spans="8:19" x14ac:dyDescent="0.2">
      <c r="H130" s="18"/>
      <c r="I130" s="4"/>
      <c r="J130" s="4"/>
      <c r="K130" s="3"/>
      <c r="L130" s="3"/>
      <c r="M130" s="3"/>
      <c r="S130" s="2"/>
    </row>
    <row r="131" spans="8:19" x14ac:dyDescent="0.2">
      <c r="H131" s="18"/>
      <c r="I131" s="4"/>
      <c r="J131" s="4"/>
      <c r="K131" s="3"/>
      <c r="L131" s="3"/>
      <c r="M131" s="3"/>
      <c r="S131" s="2"/>
    </row>
    <row r="132" spans="8:19" x14ac:dyDescent="0.2">
      <c r="H132" s="18"/>
      <c r="I132" s="4"/>
      <c r="J132" s="4"/>
      <c r="K132" s="3"/>
      <c r="L132" s="3"/>
      <c r="M132" s="3"/>
      <c r="S132" s="2"/>
    </row>
    <row r="133" spans="8:19" x14ac:dyDescent="0.2">
      <c r="H133" s="18"/>
      <c r="I133" s="4"/>
      <c r="J133" s="4"/>
      <c r="K133" s="3"/>
      <c r="L133" s="3"/>
      <c r="M133" s="3"/>
      <c r="S133" s="2"/>
    </row>
    <row r="134" spans="8:19" x14ac:dyDescent="0.2">
      <c r="H134" s="18"/>
      <c r="I134" s="4"/>
      <c r="J134" s="4"/>
      <c r="K134" s="3"/>
      <c r="L134" s="3"/>
      <c r="M134" s="3"/>
      <c r="S134" s="2"/>
    </row>
    <row r="135" spans="8:19" x14ac:dyDescent="0.2">
      <c r="H135" s="18"/>
      <c r="I135" s="4"/>
      <c r="J135" s="4"/>
      <c r="K135" s="3"/>
      <c r="L135" s="3"/>
      <c r="M135" s="3"/>
      <c r="S135" s="2"/>
    </row>
    <row r="136" spans="8:19" x14ac:dyDescent="0.2">
      <c r="H136" s="18"/>
      <c r="I136" s="4"/>
      <c r="J136" s="4"/>
      <c r="K136" s="3"/>
      <c r="L136" s="3"/>
      <c r="M136" s="3"/>
      <c r="S136" s="2"/>
    </row>
    <row r="137" spans="8:19" x14ac:dyDescent="0.2">
      <c r="H137" s="18"/>
      <c r="I137" s="4"/>
      <c r="J137" s="4"/>
      <c r="K137" s="3"/>
      <c r="L137" s="3"/>
      <c r="M137" s="3"/>
      <c r="S137" s="2"/>
    </row>
    <row r="138" spans="8:19" x14ac:dyDescent="0.2">
      <c r="H138" s="18"/>
      <c r="I138" s="4"/>
      <c r="J138" s="4"/>
      <c r="K138" s="3"/>
      <c r="L138" s="3"/>
      <c r="M138" s="3"/>
      <c r="S138" s="2"/>
    </row>
    <row r="139" spans="8:19" x14ac:dyDescent="0.2">
      <c r="H139" s="18"/>
      <c r="I139" s="4"/>
      <c r="J139" s="4"/>
      <c r="K139" s="3"/>
      <c r="L139" s="3"/>
      <c r="M139" s="3"/>
      <c r="S139" s="2"/>
    </row>
    <row r="140" spans="8:19" x14ac:dyDescent="0.2">
      <c r="H140" s="18"/>
      <c r="I140" s="4"/>
      <c r="J140" s="4"/>
      <c r="K140" s="3"/>
      <c r="L140" s="3"/>
      <c r="M140" s="3"/>
      <c r="S140" s="2"/>
    </row>
    <row r="141" spans="8:19" x14ac:dyDescent="0.2">
      <c r="H141" s="18"/>
      <c r="I141" s="4"/>
      <c r="J141" s="4"/>
      <c r="K141" s="3"/>
      <c r="L141" s="3"/>
      <c r="M141" s="3"/>
      <c r="S141" s="2"/>
    </row>
    <row r="142" spans="8:19" x14ac:dyDescent="0.2">
      <c r="H142" s="18"/>
      <c r="I142" s="4"/>
      <c r="J142" s="4"/>
      <c r="K142" s="3"/>
      <c r="L142" s="3"/>
      <c r="M142" s="3"/>
      <c r="S142" s="2"/>
    </row>
    <row r="143" spans="8:19" x14ac:dyDescent="0.2">
      <c r="H143" s="18"/>
      <c r="I143" s="4"/>
      <c r="J143" s="4"/>
      <c r="K143" s="3"/>
      <c r="L143" s="3"/>
      <c r="M143" s="3"/>
      <c r="S143" s="2"/>
    </row>
    <row r="144" spans="8:19" x14ac:dyDescent="0.2">
      <c r="H144" s="18"/>
      <c r="I144" s="4"/>
      <c r="J144" s="4"/>
      <c r="K144" s="3"/>
      <c r="L144" s="3"/>
      <c r="M144" s="3"/>
      <c r="S144" s="2"/>
    </row>
    <row r="145" spans="8:19" x14ac:dyDescent="0.2">
      <c r="H145" s="18"/>
      <c r="I145" s="4"/>
      <c r="J145" s="4"/>
      <c r="K145" s="3"/>
      <c r="L145" s="3"/>
      <c r="M145" s="3"/>
      <c r="S145" s="2"/>
    </row>
    <row r="146" spans="8:19" x14ac:dyDescent="0.2">
      <c r="H146" s="18"/>
      <c r="I146" s="4"/>
      <c r="J146" s="4"/>
      <c r="K146" s="3"/>
      <c r="L146" s="3"/>
      <c r="M146" s="3"/>
      <c r="S146" s="2"/>
    </row>
    <row r="147" spans="8:19" x14ac:dyDescent="0.2">
      <c r="H147" s="18"/>
      <c r="I147" s="4"/>
      <c r="J147" s="4"/>
      <c r="K147" s="3"/>
      <c r="L147" s="3"/>
      <c r="M147" s="3"/>
      <c r="S147" s="2"/>
    </row>
    <row r="148" spans="8:19" x14ac:dyDescent="0.2">
      <c r="H148" s="18"/>
      <c r="I148" s="4"/>
      <c r="J148" s="4"/>
      <c r="K148" s="3"/>
      <c r="L148" s="3"/>
      <c r="M148" s="3"/>
      <c r="S148" s="2"/>
    </row>
    <row r="149" spans="8:19" x14ac:dyDescent="0.2">
      <c r="H149" s="18"/>
      <c r="I149" s="4"/>
      <c r="J149" s="4"/>
      <c r="K149" s="3"/>
      <c r="L149" s="3"/>
      <c r="M149" s="3"/>
      <c r="S149" s="2"/>
    </row>
    <row r="150" spans="8:19" x14ac:dyDescent="0.2">
      <c r="H150" s="18"/>
      <c r="I150" s="4"/>
      <c r="J150" s="4"/>
      <c r="K150" s="3"/>
      <c r="L150" s="3"/>
      <c r="M150" s="3"/>
      <c r="S150" s="2"/>
    </row>
    <row r="151" spans="8:19" x14ac:dyDescent="0.2">
      <c r="H151" s="18"/>
      <c r="I151" s="4"/>
      <c r="J151" s="4"/>
      <c r="K151" s="3"/>
      <c r="L151" s="3"/>
      <c r="M151" s="3"/>
      <c r="S151" s="2"/>
    </row>
    <row r="152" spans="8:19" x14ac:dyDescent="0.2">
      <c r="H152" s="18"/>
      <c r="I152" s="4"/>
      <c r="J152" s="4"/>
      <c r="K152" s="3"/>
      <c r="L152" s="3"/>
      <c r="M152" s="3"/>
      <c r="S152" s="2"/>
    </row>
    <row r="153" spans="8:19" x14ac:dyDescent="0.2">
      <c r="H153" s="18"/>
      <c r="I153" s="4"/>
      <c r="J153" s="4"/>
      <c r="K153" s="3"/>
      <c r="L153" s="3"/>
      <c r="M153" s="3"/>
      <c r="S153" s="2"/>
    </row>
    <row r="154" spans="8:19" x14ac:dyDescent="0.2">
      <c r="H154" s="18"/>
      <c r="I154" s="4"/>
      <c r="J154" s="4"/>
      <c r="K154" s="3"/>
      <c r="L154" s="3"/>
      <c r="M154" s="3"/>
      <c r="S154" s="2"/>
    </row>
    <row r="155" spans="8:19" x14ac:dyDescent="0.2">
      <c r="H155" s="18"/>
      <c r="I155" s="4"/>
      <c r="J155" s="4"/>
      <c r="K155" s="3"/>
      <c r="L155" s="3"/>
      <c r="M155" s="3"/>
      <c r="S155" s="2"/>
    </row>
    <row r="156" spans="8:19" x14ac:dyDescent="0.2">
      <c r="H156" s="18"/>
      <c r="I156" s="4"/>
      <c r="J156" s="4"/>
      <c r="K156" s="3"/>
      <c r="L156" s="3"/>
      <c r="M156" s="3"/>
      <c r="S156" s="2"/>
    </row>
    <row r="157" spans="8:19" x14ac:dyDescent="0.2">
      <c r="H157" s="18"/>
      <c r="I157" s="4"/>
      <c r="J157" s="4"/>
      <c r="K157" s="3"/>
      <c r="L157" s="3"/>
      <c r="M157" s="3"/>
      <c r="S157" s="2"/>
    </row>
    <row r="158" spans="8:19" x14ac:dyDescent="0.2">
      <c r="H158" s="18"/>
      <c r="I158" s="4"/>
      <c r="J158" s="4"/>
      <c r="K158" s="3"/>
      <c r="L158" s="3"/>
      <c r="M158" s="3"/>
      <c r="S158" s="2"/>
    </row>
    <row r="159" spans="8:19" x14ac:dyDescent="0.2">
      <c r="H159" s="18"/>
      <c r="I159" s="4"/>
      <c r="J159" s="4"/>
      <c r="K159" s="3"/>
      <c r="L159" s="3"/>
      <c r="M159" s="3"/>
      <c r="S159" s="2"/>
    </row>
    <row r="160" spans="8:19" x14ac:dyDescent="0.2">
      <c r="H160" s="18"/>
      <c r="I160" s="4"/>
      <c r="J160" s="4"/>
      <c r="K160" s="3"/>
      <c r="L160" s="3"/>
      <c r="M160" s="3"/>
      <c r="S160" s="2"/>
    </row>
    <row r="161" spans="8:19" x14ac:dyDescent="0.2">
      <c r="H161" s="18"/>
      <c r="I161" s="4"/>
      <c r="J161" s="4"/>
      <c r="K161" s="3"/>
      <c r="L161" s="3"/>
      <c r="M161" s="3"/>
      <c r="S161" s="2"/>
    </row>
    <row r="162" spans="8:19" x14ac:dyDescent="0.2">
      <c r="H162" s="18"/>
      <c r="I162" s="4"/>
      <c r="J162" s="4"/>
      <c r="K162" s="3"/>
      <c r="L162" s="3"/>
      <c r="M162" s="3"/>
      <c r="S162" s="2"/>
    </row>
    <row r="163" spans="8:19" x14ac:dyDescent="0.2">
      <c r="H163" s="18"/>
      <c r="I163" s="4"/>
      <c r="J163" s="4"/>
      <c r="K163" s="3"/>
      <c r="L163" s="3"/>
      <c r="M163" s="3"/>
      <c r="S163" s="2"/>
    </row>
    <row r="164" spans="8:19" x14ac:dyDescent="0.2">
      <c r="H164" s="18"/>
      <c r="I164" s="4"/>
      <c r="J164" s="4"/>
      <c r="K164" s="3"/>
      <c r="L164" s="3"/>
      <c r="M164" s="3"/>
      <c r="S164" s="2"/>
    </row>
    <row r="165" spans="8:19" x14ac:dyDescent="0.2">
      <c r="H165" s="18"/>
      <c r="I165" s="4"/>
      <c r="J165" s="4"/>
      <c r="K165" s="3"/>
      <c r="L165" s="3"/>
      <c r="M165" s="3"/>
      <c r="S165" s="2"/>
    </row>
    <row r="166" spans="8:19" x14ac:dyDescent="0.2">
      <c r="H166" s="18"/>
      <c r="I166" s="4"/>
      <c r="J166" s="4"/>
      <c r="K166" s="3"/>
      <c r="L166" s="3"/>
      <c r="M166" s="3"/>
      <c r="S166" s="2"/>
    </row>
    <row r="167" spans="8:19" x14ac:dyDescent="0.2">
      <c r="H167" s="18"/>
      <c r="I167" s="4"/>
      <c r="J167" s="4"/>
      <c r="K167" s="3"/>
      <c r="L167" s="3"/>
      <c r="M167" s="3"/>
      <c r="S167" s="2"/>
    </row>
    <row r="168" spans="8:19" x14ac:dyDescent="0.2">
      <c r="H168" s="18"/>
      <c r="I168" s="4"/>
      <c r="J168" s="4"/>
      <c r="K168" s="3"/>
      <c r="L168" s="3"/>
      <c r="M168" s="3"/>
      <c r="S168" s="2"/>
    </row>
    <row r="169" spans="8:19" x14ac:dyDescent="0.2">
      <c r="H169" s="18"/>
      <c r="I169" s="4"/>
      <c r="J169" s="4"/>
      <c r="K169" s="3"/>
      <c r="L169" s="3"/>
      <c r="M169" s="3"/>
      <c r="S169" s="2"/>
    </row>
    <row r="170" spans="8:19" x14ac:dyDescent="0.2">
      <c r="H170" s="18"/>
      <c r="I170" s="4"/>
      <c r="J170" s="4"/>
      <c r="K170" s="3"/>
      <c r="L170" s="3"/>
      <c r="M170" s="3"/>
      <c r="S170" s="2"/>
    </row>
    <row r="171" spans="8:19" x14ac:dyDescent="0.2">
      <c r="H171" s="18"/>
      <c r="I171" s="4"/>
      <c r="J171" s="4"/>
      <c r="K171" s="3"/>
      <c r="L171" s="3"/>
      <c r="M171" s="3"/>
      <c r="S171" s="2"/>
    </row>
    <row r="172" spans="8:19" x14ac:dyDescent="0.2">
      <c r="H172" s="18"/>
      <c r="I172" s="4"/>
      <c r="J172" s="4"/>
      <c r="K172" s="3"/>
      <c r="L172" s="3"/>
      <c r="M172" s="3"/>
      <c r="S172" s="2"/>
    </row>
    <row r="173" spans="8:19" x14ac:dyDescent="0.2">
      <c r="H173" s="18"/>
      <c r="I173" s="4"/>
      <c r="J173" s="4"/>
      <c r="K173" s="3"/>
      <c r="L173" s="3"/>
      <c r="M173" s="3"/>
      <c r="S173" s="2"/>
    </row>
    <row r="174" spans="8:19" x14ac:dyDescent="0.2">
      <c r="H174" s="18"/>
      <c r="I174" s="4"/>
      <c r="J174" s="4"/>
      <c r="K174" s="3"/>
      <c r="L174" s="3"/>
      <c r="M174" s="3"/>
      <c r="S174" s="2"/>
    </row>
    <row r="175" spans="8:19" x14ac:dyDescent="0.2">
      <c r="H175" s="18"/>
      <c r="I175" s="4"/>
      <c r="J175" s="4"/>
      <c r="K175" s="3"/>
      <c r="L175" s="3"/>
      <c r="M175" s="3"/>
      <c r="S175" s="2"/>
    </row>
    <row r="176" spans="8:19" x14ac:dyDescent="0.2">
      <c r="H176" s="18"/>
      <c r="I176" s="4"/>
      <c r="J176" s="4"/>
      <c r="K176" s="3"/>
      <c r="L176" s="3"/>
      <c r="M176" s="3"/>
      <c r="S176" s="2"/>
    </row>
    <row r="177" spans="8:19" x14ac:dyDescent="0.2">
      <c r="H177" s="18"/>
      <c r="I177" s="4"/>
      <c r="J177" s="4"/>
      <c r="K177" s="3"/>
      <c r="L177" s="3"/>
      <c r="M177" s="3"/>
      <c r="S177" s="2"/>
    </row>
    <row r="178" spans="8:19" x14ac:dyDescent="0.2">
      <c r="H178" s="18"/>
      <c r="I178" s="4"/>
      <c r="J178" s="4"/>
      <c r="K178" s="3"/>
      <c r="L178" s="3"/>
      <c r="M178" s="3"/>
      <c r="S178" s="2"/>
    </row>
    <row r="179" spans="8:19" x14ac:dyDescent="0.2">
      <c r="H179" s="18"/>
      <c r="I179" s="4"/>
      <c r="J179" s="4"/>
      <c r="K179" s="3"/>
      <c r="L179" s="3"/>
      <c r="M179" s="3"/>
      <c r="S179" s="2"/>
    </row>
    <row r="180" spans="8:19" x14ac:dyDescent="0.2">
      <c r="H180" s="18"/>
      <c r="I180" s="4"/>
      <c r="J180" s="4"/>
      <c r="K180" s="3"/>
      <c r="L180" s="3"/>
      <c r="M180" s="3"/>
      <c r="S180" s="2"/>
    </row>
    <row r="181" spans="8:19" x14ac:dyDescent="0.2">
      <c r="H181" s="18"/>
      <c r="I181" s="4"/>
      <c r="J181" s="4"/>
      <c r="K181" s="3"/>
      <c r="L181" s="3"/>
      <c r="M181" s="3"/>
      <c r="S181" s="2"/>
    </row>
    <row r="182" spans="8:19" x14ac:dyDescent="0.2">
      <c r="H182" s="18"/>
      <c r="I182" s="4"/>
      <c r="J182" s="4"/>
      <c r="K182" s="3"/>
      <c r="L182" s="3"/>
      <c r="M182" s="3"/>
      <c r="S182" s="2"/>
    </row>
    <row r="183" spans="8:19" x14ac:dyDescent="0.2">
      <c r="H183" s="18"/>
      <c r="I183" s="4"/>
      <c r="J183" s="4"/>
      <c r="K183" s="3"/>
      <c r="L183" s="3"/>
      <c r="M183" s="3"/>
      <c r="S183" s="2"/>
    </row>
    <row r="184" spans="8:19" x14ac:dyDescent="0.2">
      <c r="H184" s="18"/>
      <c r="I184" s="4"/>
      <c r="J184" s="4"/>
      <c r="K184" s="3"/>
      <c r="L184" s="3"/>
      <c r="M184" s="3"/>
      <c r="S184" s="2"/>
    </row>
    <row r="185" spans="8:19" x14ac:dyDescent="0.2">
      <c r="H185" s="18"/>
      <c r="I185" s="4"/>
      <c r="J185" s="4"/>
      <c r="K185" s="3"/>
      <c r="L185" s="3"/>
      <c r="M185" s="3"/>
      <c r="S185" s="2"/>
    </row>
    <row r="186" spans="8:19" x14ac:dyDescent="0.2">
      <c r="H186" s="18"/>
      <c r="I186" s="4"/>
      <c r="J186" s="4"/>
      <c r="K186" s="3"/>
      <c r="L186" s="3"/>
      <c r="M186" s="3"/>
      <c r="S186" s="2"/>
    </row>
    <row r="187" spans="8:19" x14ac:dyDescent="0.2">
      <c r="H187" s="18"/>
      <c r="I187" s="4"/>
      <c r="J187" s="4"/>
      <c r="K187" s="3"/>
      <c r="L187" s="3"/>
      <c r="M187" s="3"/>
      <c r="S187" s="2"/>
    </row>
    <row r="188" spans="8:19" x14ac:dyDescent="0.2">
      <c r="H188" s="18"/>
      <c r="I188" s="4"/>
      <c r="J188" s="4"/>
      <c r="K188" s="3"/>
      <c r="L188" s="3"/>
      <c r="M188" s="3"/>
      <c r="S188" s="2"/>
    </row>
    <row r="189" spans="8:19" x14ac:dyDescent="0.2">
      <c r="H189" s="18"/>
      <c r="I189" s="4"/>
      <c r="J189" s="4"/>
      <c r="K189" s="3"/>
      <c r="L189" s="3"/>
      <c r="M189" s="3"/>
      <c r="S189" s="2"/>
    </row>
    <row r="190" spans="8:19" x14ac:dyDescent="0.2">
      <c r="H190" s="18"/>
      <c r="I190" s="4"/>
      <c r="J190" s="4"/>
      <c r="K190" s="3"/>
      <c r="L190" s="3"/>
      <c r="M190" s="3"/>
      <c r="S190" s="2"/>
    </row>
    <row r="191" spans="8:19" x14ac:dyDescent="0.2">
      <c r="H191" s="18"/>
      <c r="I191" s="4"/>
      <c r="J191" s="4"/>
      <c r="K191" s="3"/>
      <c r="L191" s="3"/>
      <c r="M191" s="3"/>
      <c r="S191" s="2"/>
    </row>
    <row r="192" spans="8:19" x14ac:dyDescent="0.2">
      <c r="H192" s="18"/>
      <c r="I192" s="4"/>
      <c r="J192" s="4"/>
      <c r="K192" s="3"/>
      <c r="L192" s="3"/>
      <c r="M192" s="3"/>
      <c r="S192" s="2"/>
    </row>
    <row r="193" spans="8:19" x14ac:dyDescent="0.2">
      <c r="H193" s="18"/>
      <c r="I193" s="4"/>
      <c r="J193" s="4"/>
      <c r="K193" s="3"/>
      <c r="L193" s="3"/>
      <c r="M193" s="3"/>
      <c r="S193" s="2"/>
    </row>
    <row r="194" spans="8:19" x14ac:dyDescent="0.2">
      <c r="H194" s="18"/>
      <c r="I194" s="4"/>
      <c r="J194" s="4"/>
      <c r="K194" s="3"/>
      <c r="L194" s="3"/>
      <c r="M194" s="3"/>
      <c r="S194" s="2"/>
    </row>
    <row r="195" spans="8:19" x14ac:dyDescent="0.2">
      <c r="H195" s="18"/>
      <c r="I195" s="4"/>
      <c r="J195" s="4"/>
      <c r="K195" s="3"/>
      <c r="L195" s="3"/>
      <c r="M195" s="3"/>
      <c r="S195" s="2"/>
    </row>
    <row r="196" spans="8:19" x14ac:dyDescent="0.2">
      <c r="H196" s="18"/>
      <c r="I196" s="4"/>
      <c r="J196" s="4"/>
      <c r="K196" s="3"/>
      <c r="L196" s="3"/>
      <c r="M196" s="3"/>
      <c r="S196" s="2"/>
    </row>
    <row r="197" spans="8:19" x14ac:dyDescent="0.2">
      <c r="H197" s="18"/>
      <c r="I197" s="4"/>
      <c r="J197" s="4"/>
      <c r="K197" s="3"/>
      <c r="L197" s="3"/>
      <c r="M197" s="3"/>
      <c r="S197" s="2"/>
    </row>
    <row r="198" spans="8:19" x14ac:dyDescent="0.2">
      <c r="H198" s="18"/>
      <c r="I198" s="4"/>
      <c r="J198" s="4"/>
      <c r="K198" s="3"/>
      <c r="L198" s="3"/>
      <c r="M198" s="3"/>
      <c r="S198" s="2"/>
    </row>
    <row r="199" spans="8:19" x14ac:dyDescent="0.2">
      <c r="H199" s="18"/>
      <c r="I199" s="4"/>
      <c r="J199" s="4"/>
      <c r="K199" s="3"/>
      <c r="L199" s="3"/>
      <c r="M199" s="3"/>
      <c r="S199" s="2"/>
    </row>
    <row r="200" spans="8:19" x14ac:dyDescent="0.2">
      <c r="H200" s="18"/>
      <c r="I200" s="4"/>
      <c r="J200" s="4"/>
      <c r="K200" s="3"/>
      <c r="L200" s="3"/>
      <c r="M200" s="3"/>
      <c r="S200" s="2"/>
    </row>
    <row r="201" spans="8:19" x14ac:dyDescent="0.2">
      <c r="H201" s="18"/>
      <c r="I201" s="4"/>
      <c r="J201" s="4"/>
      <c r="K201" s="3"/>
      <c r="L201" s="3"/>
      <c r="M201" s="3"/>
      <c r="S201" s="2"/>
    </row>
    <row r="202" spans="8:19" x14ac:dyDescent="0.2">
      <c r="H202" s="18"/>
      <c r="I202" s="4"/>
      <c r="J202" s="4"/>
      <c r="K202" s="3"/>
      <c r="L202" s="3"/>
      <c r="M202" s="3"/>
      <c r="S202" s="2"/>
    </row>
    <row r="203" spans="8:19" x14ac:dyDescent="0.2">
      <c r="H203" s="18"/>
      <c r="I203" s="4"/>
      <c r="J203" s="4"/>
      <c r="K203" s="3"/>
      <c r="L203" s="3"/>
      <c r="M203" s="3"/>
      <c r="S203" s="2"/>
    </row>
    <row r="204" spans="8:19" x14ac:dyDescent="0.2">
      <c r="H204" s="18"/>
      <c r="I204" s="4"/>
      <c r="J204" s="4"/>
      <c r="K204" s="3"/>
      <c r="L204" s="3"/>
      <c r="M204" s="3"/>
      <c r="S204" s="2"/>
    </row>
    <row r="205" spans="8:19" x14ac:dyDescent="0.2">
      <c r="H205" s="18"/>
      <c r="I205" s="4"/>
      <c r="J205" s="4"/>
      <c r="K205" s="3"/>
      <c r="L205" s="3"/>
      <c r="M205" s="3"/>
      <c r="S205" s="2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AF205"/>
  <sheetViews>
    <sheetView zoomScale="80" zoomScaleNormal="80" workbookViewId="0">
      <selection activeCell="F4" sqref="F4"/>
    </sheetView>
  </sheetViews>
  <sheetFormatPr defaultRowHeight="12.75" x14ac:dyDescent="0.2"/>
  <cols>
    <col min="2" max="2" width="16.28515625" customWidth="1"/>
  </cols>
  <sheetData>
    <row r="1" spans="1:32" x14ac:dyDescent="0.2">
      <c r="H1" s="18"/>
      <c r="I1" s="4"/>
      <c r="J1" s="4"/>
      <c r="K1" s="3"/>
      <c r="L1" s="3"/>
      <c r="M1" s="3"/>
      <c r="N1" s="4"/>
      <c r="O1" s="4"/>
      <c r="P1" s="4"/>
      <c r="Q1" s="2"/>
    </row>
    <row r="2" spans="1:32" x14ac:dyDescent="0.2">
      <c r="A2" s="6" t="s">
        <v>277</v>
      </c>
      <c r="H2" t="s">
        <v>230</v>
      </c>
    </row>
    <row r="3" spans="1:32" x14ac:dyDescent="0.2">
      <c r="A3" s="6" t="s">
        <v>437</v>
      </c>
    </row>
    <row r="4" spans="1:32" x14ac:dyDescent="0.2">
      <c r="B4" s="1"/>
      <c r="F4" s="294" t="s">
        <v>798</v>
      </c>
      <c r="H4" s="2"/>
      <c r="I4" s="5"/>
      <c r="J4" s="4"/>
      <c r="K4" s="3"/>
      <c r="L4" s="3"/>
      <c r="M4" s="3"/>
    </row>
    <row r="5" spans="1:32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CONCATENATE("CEFF~",AF7)</f>
        <v>CEFF~R_ES-FL-WatHeat</v>
      </c>
      <c r="O5" s="10" t="s">
        <v>78</v>
      </c>
      <c r="P5" s="10" t="s">
        <v>26</v>
      </c>
      <c r="Q5" s="10" t="s">
        <v>29</v>
      </c>
      <c r="R5" s="9" t="str">
        <f>CONCATENATE("CEFF~",AF8)</f>
        <v>CEFF~R_ES-FL-SpCool</v>
      </c>
      <c r="S5" s="9" t="str">
        <f>CONCATENATE("CEFF~",AF6)</f>
        <v>CEFF~R_ES-FL-SpHeat</v>
      </c>
      <c r="T5" s="9" t="str">
        <f>CONCATENATE("CEFF~",AF6,"~W")</f>
        <v>CEFF~R_ES-FL-SpHeat~W</v>
      </c>
      <c r="U5" s="9" t="str">
        <f>CONCATENATE("CEFF~",AF6,"~R")</f>
        <v>CEFF~R_ES-FL-SpHeat~R</v>
      </c>
      <c r="V5" s="9" t="str">
        <f>CONCATENATE("CEFF~",AF6,"~S")</f>
        <v>CEFF~R_ES-FL-SpHeat~S</v>
      </c>
      <c r="W5" s="9" t="str">
        <f>CONCATENATE("CEFF~",AF6,"~F")</f>
        <v>CEFF~R_ES-FL-SpHeat~F</v>
      </c>
      <c r="X5" s="9" t="str">
        <f>CONCATENATE("AFC~",AF6)</f>
        <v>AFC~R_ES-FL-SpHeat</v>
      </c>
      <c r="Y5" s="9" t="str">
        <f>CONCATENATE("AFC~",AF8)</f>
        <v>AFC~R_ES-FL-SpCool</v>
      </c>
      <c r="Z5" s="9" t="str">
        <f>CONCATENATE("Share-O~LO~",AF6)</f>
        <v>Share-O~LO~R_ES-FL-SpHeat</v>
      </c>
      <c r="AA5" s="12" t="s">
        <v>386</v>
      </c>
      <c r="AB5" s="13" t="s">
        <v>387</v>
      </c>
    </row>
    <row r="6" spans="1:32" x14ac:dyDescent="0.2">
      <c r="B6" t="str">
        <f>"R_ES-SH-FL_"&amp;RIGHT(C6,3)&amp;"01"</f>
        <v>R_ES-SH-FL_BIO01</v>
      </c>
      <c r="C6" t="s">
        <v>79</v>
      </c>
      <c r="D6" t="str">
        <f>$AF$6</f>
        <v>R_ES-FL-SpHeat</v>
      </c>
      <c r="F6">
        <f>Q6</f>
        <v>2011</v>
      </c>
      <c r="G6">
        <v>1</v>
      </c>
      <c r="H6" s="18">
        <f>'Generalized Data'!$C$3</f>
        <v>6.3071999999999999</v>
      </c>
      <c r="I6" s="4">
        <f>'Generalized Data'!C31</f>
        <v>0</v>
      </c>
      <c r="K6" s="4">
        <f>'Generalized Data'!E31</f>
        <v>185.76513384</v>
      </c>
      <c r="M6" s="3">
        <f>'Generalized Data'!G31</f>
        <v>0.55000000000000004</v>
      </c>
      <c r="N6" s="3"/>
      <c r="O6" s="3"/>
      <c r="P6" s="2">
        <f>'Generalized Data'!M31</f>
        <v>15</v>
      </c>
      <c r="Q6" s="91">
        <v>2011</v>
      </c>
      <c r="T6" s="78"/>
      <c r="U6" s="78"/>
      <c r="V6" s="78"/>
      <c r="W6" s="78"/>
      <c r="AA6" s="87"/>
      <c r="AB6" s="87"/>
      <c r="AF6" s="30" t="s">
        <v>398</v>
      </c>
    </row>
    <row r="7" spans="1:32" x14ac:dyDescent="0.2">
      <c r="B7" t="str">
        <f>"R_ES-SH-FL_"&amp;RIGHT(C7,3)&amp;"02"</f>
        <v>R_ES-SH-FL_BIO02</v>
      </c>
      <c r="C7" t="s">
        <v>79</v>
      </c>
      <c r="D7" t="str">
        <f>$AF$6</f>
        <v>R_ES-FL-SpHeat</v>
      </c>
      <c r="F7">
        <f>Q7</f>
        <v>2011</v>
      </c>
      <c r="G7">
        <v>1</v>
      </c>
      <c r="H7" s="18">
        <f>'Generalized Data'!$C$3</f>
        <v>6.3071999999999999</v>
      </c>
      <c r="I7" s="4">
        <f>'Generalized Data'!C32</f>
        <v>0</v>
      </c>
      <c r="K7" s="4">
        <f>'Generalized Data'!E32</f>
        <v>103.57813523199999</v>
      </c>
      <c r="M7" s="3">
        <f>'Generalized Data'!G32</f>
        <v>0.61</v>
      </c>
      <c r="N7" s="3"/>
      <c r="O7" s="3"/>
      <c r="P7" s="2">
        <f>'Generalized Data'!M32</f>
        <v>15</v>
      </c>
      <c r="Q7" s="91">
        <v>2011</v>
      </c>
      <c r="T7" s="78"/>
      <c r="U7" s="78"/>
      <c r="V7" s="78"/>
      <c r="W7" s="78"/>
      <c r="AA7" s="87"/>
      <c r="AB7" s="87"/>
      <c r="AF7" s="30" t="s">
        <v>403</v>
      </c>
    </row>
    <row r="8" spans="1:32" x14ac:dyDescent="0.2">
      <c r="B8" t="str">
        <f>"R_ES-SH-FL_"&amp;RIGHT(C8,3)&amp;"01"</f>
        <v>R_ES-SH-FL_BDL01</v>
      </c>
      <c r="C8" t="s">
        <v>303</v>
      </c>
      <c r="D8" t="str">
        <f>$AF$6</f>
        <v>R_ES-FL-SpHeat</v>
      </c>
      <c r="F8">
        <f>Q8</f>
        <v>2011</v>
      </c>
      <c r="G8">
        <v>1</v>
      </c>
      <c r="H8" s="18">
        <f>'Generalized Data'!$C$4</f>
        <v>31.536000000000001</v>
      </c>
      <c r="I8" s="4">
        <f>'Generalized Data'!C33</f>
        <v>9.6260114808000008</v>
      </c>
      <c r="K8" s="4">
        <f>'Generalized Data'!E33</f>
        <v>192.52022961599999</v>
      </c>
      <c r="M8" s="3">
        <f>'Generalized Data'!G33</f>
        <v>0.91</v>
      </c>
      <c r="N8" s="3">
        <f>'Generalized Data'!H33</f>
        <v>0.4175824175824176</v>
      </c>
      <c r="O8" s="3"/>
      <c r="P8" s="2">
        <f>'Generalized Data'!M33</f>
        <v>20</v>
      </c>
      <c r="Q8" s="91">
        <v>2011</v>
      </c>
      <c r="T8" s="78"/>
      <c r="U8" s="78"/>
      <c r="V8" s="78"/>
      <c r="W8" s="78"/>
      <c r="AA8" s="87"/>
      <c r="AB8" s="87"/>
      <c r="AF8" s="30" t="s">
        <v>404</v>
      </c>
    </row>
    <row r="9" spans="1:32" x14ac:dyDescent="0.2">
      <c r="D9" t="str">
        <f>$AF$7</f>
        <v>R_ES-FL-WatHeat</v>
      </c>
      <c r="H9" s="18"/>
      <c r="I9" s="4"/>
      <c r="K9" s="4"/>
      <c r="M9" s="3"/>
      <c r="N9" s="3"/>
      <c r="O9" s="3"/>
      <c r="P9" s="2"/>
      <c r="T9" s="78"/>
      <c r="U9" s="78"/>
      <c r="V9" s="78"/>
      <c r="W9" s="78"/>
      <c r="AA9" s="87"/>
      <c r="AB9" s="87"/>
    </row>
    <row r="10" spans="1:32" x14ac:dyDescent="0.2">
      <c r="B10" t="str">
        <f>"R_ES-SH-FL_"&amp;RIGHT(C10,3)&amp;"01"</f>
        <v>R_ES-SH-FL_ELC01</v>
      </c>
      <c r="C10" t="s">
        <v>81</v>
      </c>
      <c r="D10" t="str">
        <f>$AF$6</f>
        <v>R_ES-FL-SpHeat</v>
      </c>
      <c r="F10">
        <f>Q10</f>
        <v>2011</v>
      </c>
      <c r="G10">
        <v>1</v>
      </c>
      <c r="H10" s="18">
        <f>'Generalized Data'!$C$4</f>
        <v>31.536000000000001</v>
      </c>
      <c r="I10" s="4">
        <f>'Generalized Data'!C34</f>
        <v>2.5629999999999997</v>
      </c>
      <c r="K10" s="4">
        <f>'Generalized Data'!E34</f>
        <v>233</v>
      </c>
      <c r="M10" s="3">
        <f>'Generalized Data'!G34</f>
        <v>1</v>
      </c>
      <c r="N10" s="3"/>
      <c r="O10" s="3"/>
      <c r="P10" s="2">
        <f>'Generalized Data'!M34</f>
        <v>15</v>
      </c>
      <c r="Q10" s="91">
        <v>2011</v>
      </c>
      <c r="T10" s="78"/>
      <c r="U10" s="78"/>
      <c r="V10" s="78"/>
      <c r="W10" s="78"/>
      <c r="AA10" s="87"/>
      <c r="AB10" s="87"/>
    </row>
    <row r="11" spans="1:32" x14ac:dyDescent="0.2">
      <c r="B11" t="str">
        <f>"R_ES-SH-FL_"&amp;RIGHT(C11,3)&amp;"02"</f>
        <v>R_ES-SH-FL_ELC02</v>
      </c>
      <c r="C11" t="s">
        <v>81</v>
      </c>
      <c r="D11" t="str">
        <f>$AF$6</f>
        <v>R_ES-FL-SpHeat</v>
      </c>
      <c r="F11">
        <f>Q11</f>
        <v>2011</v>
      </c>
      <c r="H11" s="18">
        <f>'Generalized Data'!$C$4</f>
        <v>31.536000000000001</v>
      </c>
      <c r="I11" s="4">
        <f>'Generalized Data'!C35</f>
        <v>16</v>
      </c>
      <c r="J11" s="4">
        <f>'Generalized Data'!D35</f>
        <v>6.46</v>
      </c>
      <c r="K11" s="20">
        <f>'Generalized Data'!E35</f>
        <v>800</v>
      </c>
      <c r="L11" s="20">
        <f>'Generalized Data'!F35</f>
        <v>646</v>
      </c>
      <c r="M11" s="4">
        <v>1</v>
      </c>
      <c r="N11" s="3"/>
      <c r="P11" s="2">
        <f>'Generalized Data'!M35</f>
        <v>20</v>
      </c>
      <c r="Q11" s="91">
        <v>2011</v>
      </c>
      <c r="T11" s="81">
        <f>'Generalized Data'!$O$35</f>
        <v>3</v>
      </c>
      <c r="U11" s="22">
        <f>T11</f>
        <v>3</v>
      </c>
      <c r="V11" s="80">
        <f>T11</f>
        <v>3</v>
      </c>
      <c r="W11" s="80">
        <f>V11</f>
        <v>3</v>
      </c>
      <c r="X11">
        <v>0.15</v>
      </c>
      <c r="AA11" s="23">
        <f t="shared" ref="AA11:AA47" si="0">IF(I11="","",I11)</f>
        <v>16</v>
      </c>
      <c r="AB11" s="23">
        <f>IF(K11="","",K11)</f>
        <v>800</v>
      </c>
    </row>
    <row r="12" spans="1:32" x14ac:dyDescent="0.2">
      <c r="E12" t="s">
        <v>82</v>
      </c>
      <c r="H12" s="18"/>
      <c r="I12" s="4"/>
      <c r="J12" s="4"/>
      <c r="K12" s="20"/>
      <c r="L12" s="20"/>
      <c r="M12" s="4"/>
      <c r="N12" s="3"/>
      <c r="P12" s="2"/>
      <c r="T12" s="82"/>
      <c r="V12" s="79"/>
      <c r="W12" s="79"/>
      <c r="AA12" s="23" t="str">
        <f t="shared" si="0"/>
        <v/>
      </c>
      <c r="AB12" s="23" t="str">
        <f t="shared" ref="AB12:AB47" si="1">IF(K12="","",K12)</f>
        <v/>
      </c>
    </row>
    <row r="13" spans="1:32" x14ac:dyDescent="0.2">
      <c r="B13" t="str">
        <f>"R_ES-SH-FL_"&amp;RIGHT(C13,3)&amp;"03"</f>
        <v>R_ES-SH-FL_ELC03</v>
      </c>
      <c r="C13" t="s">
        <v>81</v>
      </c>
      <c r="D13" t="str">
        <f>$AF$6</f>
        <v>R_ES-FL-SpHeat</v>
      </c>
      <c r="F13">
        <f>Q13</f>
        <v>2011</v>
      </c>
      <c r="H13" s="18">
        <f>'Generalized Data'!$C$4</f>
        <v>31.536000000000001</v>
      </c>
      <c r="I13" s="4">
        <f>'Generalized Data'!C36</f>
        <v>18</v>
      </c>
      <c r="J13" s="4">
        <f>'Generalized Data'!D36</f>
        <v>7.46</v>
      </c>
      <c r="K13" s="20">
        <f>'Generalized Data'!E36</f>
        <v>900</v>
      </c>
      <c r="L13" s="20">
        <f>'Generalized Data'!F36</f>
        <v>746</v>
      </c>
      <c r="M13" s="4">
        <v>1</v>
      </c>
      <c r="N13" s="3"/>
      <c r="P13" s="2">
        <f>'Generalized Data'!M36</f>
        <v>20</v>
      </c>
      <c r="Q13" s="91">
        <v>2011</v>
      </c>
      <c r="R13">
        <v>4.5</v>
      </c>
      <c r="T13" s="81">
        <f>'Generalized Data'!$O$36</f>
        <v>3</v>
      </c>
      <c r="U13" s="22">
        <f>T13</f>
        <v>3</v>
      </c>
      <c r="V13" s="80">
        <f>T13</f>
        <v>3</v>
      </c>
      <c r="W13" s="80">
        <f>V13</f>
        <v>3</v>
      </c>
      <c r="X13">
        <v>0.15</v>
      </c>
      <c r="Y13">
        <v>999</v>
      </c>
      <c r="Z13">
        <v>0.6</v>
      </c>
      <c r="AA13" s="23">
        <f t="shared" si="0"/>
        <v>18</v>
      </c>
      <c r="AB13" s="23">
        <f t="shared" si="1"/>
        <v>900</v>
      </c>
    </row>
    <row r="14" spans="1:32" x14ac:dyDescent="0.2">
      <c r="D14" t="str">
        <f>$AF$8</f>
        <v>R_ES-FL-SpCool</v>
      </c>
      <c r="H14" s="18"/>
      <c r="I14" s="4"/>
      <c r="J14" s="4"/>
      <c r="K14" s="20"/>
      <c r="L14" s="20"/>
      <c r="M14" s="4"/>
      <c r="N14" s="3"/>
      <c r="P14" s="2"/>
      <c r="T14" s="82"/>
      <c r="V14" s="79"/>
      <c r="W14" s="79"/>
      <c r="AA14" s="23" t="str">
        <f t="shared" si="0"/>
        <v/>
      </c>
      <c r="AB14" s="23" t="str">
        <f t="shared" si="1"/>
        <v/>
      </c>
    </row>
    <row r="15" spans="1:32" x14ac:dyDescent="0.2">
      <c r="E15" t="s">
        <v>82</v>
      </c>
      <c r="H15" s="18"/>
      <c r="I15" s="4"/>
      <c r="J15" s="4"/>
      <c r="K15" s="20"/>
      <c r="L15" s="20"/>
      <c r="M15" s="4"/>
      <c r="N15" s="3"/>
      <c r="P15" s="2"/>
      <c r="T15" s="82"/>
      <c r="V15" s="79"/>
      <c r="W15" s="79"/>
      <c r="AA15" s="23" t="str">
        <f t="shared" si="0"/>
        <v/>
      </c>
      <c r="AB15" s="23" t="str">
        <f t="shared" si="1"/>
        <v/>
      </c>
    </row>
    <row r="16" spans="1:32" x14ac:dyDescent="0.2">
      <c r="B16" t="str">
        <f>"R_ES-SH-FL_"&amp;RIGHT(C16,3)&amp;"04"</f>
        <v>R_ES-SH-FL_ELC04</v>
      </c>
      <c r="C16" t="s">
        <v>81</v>
      </c>
      <c r="D16" t="str">
        <f>$AF$6</f>
        <v>R_ES-FL-SpHeat</v>
      </c>
      <c r="F16">
        <f>Q16</f>
        <v>2011</v>
      </c>
      <c r="H16" s="18">
        <f>'Generalized Data'!$C$4</f>
        <v>31.536000000000001</v>
      </c>
      <c r="I16" s="4">
        <f>'Generalized Data'!C37</f>
        <v>19.800000000000004</v>
      </c>
      <c r="J16" s="4">
        <f>'Generalized Data'!D37</f>
        <v>8.2059999999999995</v>
      </c>
      <c r="K16" s="20">
        <f>'Generalized Data'!E37</f>
        <v>990.00000000000011</v>
      </c>
      <c r="L16" s="20">
        <f>'Generalized Data'!F37</f>
        <v>820.6</v>
      </c>
      <c r="M16" s="4">
        <v>1</v>
      </c>
      <c r="N16" s="3"/>
      <c r="P16" s="2">
        <f>'Generalized Data'!M37</f>
        <v>20</v>
      </c>
      <c r="Q16" s="91">
        <v>2011</v>
      </c>
      <c r="R16">
        <v>4.7</v>
      </c>
      <c r="T16" s="81">
        <f>'Generalized Data'!$O$37</f>
        <v>3.3</v>
      </c>
      <c r="U16" s="22">
        <f>T16</f>
        <v>3.3</v>
      </c>
      <c r="V16" s="80">
        <f>T16</f>
        <v>3.3</v>
      </c>
      <c r="W16" s="80">
        <f>V16</f>
        <v>3.3</v>
      </c>
      <c r="X16">
        <v>0.15</v>
      </c>
      <c r="Y16">
        <v>999</v>
      </c>
      <c r="Z16">
        <v>0.6</v>
      </c>
      <c r="AA16" s="23">
        <f t="shared" si="0"/>
        <v>19.800000000000004</v>
      </c>
      <c r="AB16" s="23">
        <f t="shared" si="1"/>
        <v>990.00000000000011</v>
      </c>
    </row>
    <row r="17" spans="2:28" x14ac:dyDescent="0.2">
      <c r="D17" t="str">
        <f>$AF$8</f>
        <v>R_ES-FL-SpCool</v>
      </c>
      <c r="H17" s="18"/>
      <c r="I17" s="4"/>
      <c r="J17" s="4"/>
      <c r="K17" s="20"/>
      <c r="L17" s="20"/>
      <c r="M17" s="4"/>
      <c r="N17" s="3"/>
      <c r="P17" s="2"/>
      <c r="T17" s="22"/>
      <c r="V17" s="79"/>
      <c r="W17" s="79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82</v>
      </c>
      <c r="H18" s="18"/>
      <c r="I18" s="4"/>
      <c r="J18" s="4"/>
      <c r="K18" s="20"/>
      <c r="L18" s="20"/>
      <c r="M18" s="4"/>
      <c r="N18" s="3"/>
      <c r="P18" s="2"/>
      <c r="T18" s="79"/>
      <c r="V18" s="79"/>
      <c r="W18" s="79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"R_ES-SH-FL_"&amp;RIGHT(C19,3)&amp;"05"</f>
        <v>R_ES-SH-FL_ELC05</v>
      </c>
      <c r="C19" t="s">
        <v>81</v>
      </c>
      <c r="D19" t="str">
        <f>$AF$6</f>
        <v>R_ES-FL-SpHeat</v>
      </c>
      <c r="F19">
        <f>Q19</f>
        <v>2011</v>
      </c>
      <c r="H19" s="18">
        <f>'Generalized Data'!$C$4</f>
        <v>31.536000000000001</v>
      </c>
      <c r="I19" s="4">
        <f>'Generalized Data'!C38</f>
        <v>28</v>
      </c>
      <c r="J19" s="4">
        <f>'Generalized Data'!D38</f>
        <v>11.504000000000001</v>
      </c>
      <c r="K19" s="20">
        <f>'Generalized Data'!E38</f>
        <v>1400</v>
      </c>
      <c r="L19" s="20">
        <f>'Generalized Data'!F38</f>
        <v>1150.4000000000001</v>
      </c>
      <c r="M19" s="4">
        <v>1</v>
      </c>
      <c r="N19" s="3"/>
      <c r="P19" s="2">
        <f>'Generalized Data'!M38</f>
        <v>20</v>
      </c>
      <c r="Q19" s="91">
        <v>2011</v>
      </c>
      <c r="R19">
        <v>5</v>
      </c>
      <c r="T19" s="81">
        <f>'Generalized Data'!O38</f>
        <v>3.8</v>
      </c>
      <c r="U19" s="22">
        <f>T19-0.5</f>
        <v>3.3</v>
      </c>
      <c r="V19" s="22">
        <f>T19</f>
        <v>3.8</v>
      </c>
      <c r="W19" s="22">
        <f>V19+0.5</f>
        <v>4.3</v>
      </c>
      <c r="X19">
        <v>0.15</v>
      </c>
      <c r="Y19">
        <v>999</v>
      </c>
      <c r="Z19">
        <v>0.6</v>
      </c>
      <c r="AA19" s="23">
        <f t="shared" si="0"/>
        <v>28</v>
      </c>
      <c r="AB19" s="23">
        <f t="shared" si="1"/>
        <v>1400</v>
      </c>
    </row>
    <row r="20" spans="2:28" x14ac:dyDescent="0.2">
      <c r="D20" t="str">
        <f>$AF$8</f>
        <v>R_ES-FL-SpCool</v>
      </c>
      <c r="H20" s="18"/>
      <c r="I20" s="4"/>
      <c r="J20" s="4"/>
      <c r="K20" s="20"/>
      <c r="L20" s="20"/>
      <c r="M20" s="4"/>
      <c r="N20" s="3"/>
      <c r="P20" s="2"/>
      <c r="T20" s="81"/>
      <c r="U20" s="22"/>
      <c r="V20" s="22"/>
      <c r="W20" s="22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58</v>
      </c>
      <c r="H21" s="18"/>
      <c r="I21" s="4"/>
      <c r="J21" s="4"/>
      <c r="K21" s="20"/>
      <c r="L21" s="20"/>
      <c r="M21" s="4"/>
      <c r="N21" s="3"/>
      <c r="P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"R_ES-SH-FL_"&amp;RIGHT(C22,3)&amp;"06"</f>
        <v>R_ES-SH-FL_ELC06</v>
      </c>
      <c r="C22" t="s">
        <v>81</v>
      </c>
      <c r="D22" t="str">
        <f>$AF$6</f>
        <v>R_ES-FL-SpHeat</v>
      </c>
      <c r="F22">
        <f>Q22</f>
        <v>2011</v>
      </c>
      <c r="H22" s="18">
        <f>'Generalized Data'!$C$4</f>
        <v>31.536000000000001</v>
      </c>
      <c r="I22" s="4">
        <f>'Generalized Data'!C39</f>
        <v>42</v>
      </c>
      <c r="J22" s="4">
        <f>'Generalized Data'!D39</f>
        <v>17.16</v>
      </c>
      <c r="K22" s="20">
        <f>'Generalized Data'!E39</f>
        <v>2100</v>
      </c>
      <c r="L22" s="20">
        <f>'Generalized Data'!F39</f>
        <v>1716</v>
      </c>
      <c r="M22" s="4">
        <v>1</v>
      </c>
      <c r="N22" s="3"/>
      <c r="P22" s="2">
        <f>'Generalized Data'!M39</f>
        <v>20</v>
      </c>
      <c r="Q22" s="91">
        <v>2011</v>
      </c>
      <c r="R22">
        <v>5</v>
      </c>
      <c r="S22" s="81">
        <f>'Generalized Data'!O39</f>
        <v>4.4444444444444446</v>
      </c>
      <c r="U22" s="22"/>
      <c r="V22" s="22"/>
      <c r="W22" s="22"/>
      <c r="X22">
        <v>0.15</v>
      </c>
      <c r="Y22">
        <v>999</v>
      </c>
      <c r="Z22">
        <v>0.6</v>
      </c>
      <c r="AA22" s="23">
        <f t="shared" si="0"/>
        <v>42</v>
      </c>
      <c r="AB22" s="23">
        <f t="shared" si="1"/>
        <v>2100</v>
      </c>
    </row>
    <row r="23" spans="2:28" x14ac:dyDescent="0.2">
      <c r="D23" t="str">
        <f>$AF$8</f>
        <v>R_ES-FL-SpCool</v>
      </c>
      <c r="H23" s="18"/>
      <c r="I23" s="4"/>
      <c r="J23" s="4"/>
      <c r="K23" s="20"/>
      <c r="L23" s="20"/>
      <c r="M23" s="4"/>
      <c r="N23" s="3"/>
      <c r="P23" s="2"/>
      <c r="T23" s="81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58</v>
      </c>
      <c r="H24" s="18"/>
      <c r="I24" s="4"/>
      <c r="J24" s="4"/>
      <c r="K24" s="20"/>
      <c r="L24" s="20"/>
      <c r="M24" s="4"/>
      <c r="N24" s="3"/>
      <c r="P24" s="2"/>
      <c r="T24" s="81"/>
      <c r="AA24" s="23" t="str">
        <f t="shared" si="0"/>
        <v/>
      </c>
      <c r="AB24" s="23" t="str">
        <f t="shared" si="1"/>
        <v/>
      </c>
    </row>
    <row r="25" spans="2:28" x14ac:dyDescent="0.2">
      <c r="B25" t="str">
        <f>"R_ES-SH-FL_"&amp;RIGHT(C25,3)&amp;"07"</f>
        <v>R_ES-SH-FL_ELC07</v>
      </c>
      <c r="C25" t="s">
        <v>81</v>
      </c>
      <c r="D25" t="str">
        <f>$AF$6</f>
        <v>R_ES-FL-SpHeat</v>
      </c>
      <c r="F25">
        <f>Q25</f>
        <v>2011</v>
      </c>
      <c r="H25" s="18">
        <f>'Generalized Data'!$C$4</f>
        <v>31.536000000000001</v>
      </c>
      <c r="I25" s="4">
        <f>'Generalized Data'!C40</f>
        <v>48</v>
      </c>
      <c r="J25" s="4">
        <f>'Generalized Data'!D40</f>
        <v>29.669999999999998</v>
      </c>
      <c r="K25" s="20">
        <f>'Generalized Data'!E40</f>
        <v>1200</v>
      </c>
      <c r="L25" s="20">
        <f>'Generalized Data'!F40</f>
        <v>989</v>
      </c>
      <c r="M25" s="4">
        <v>1</v>
      </c>
      <c r="N25" s="3"/>
      <c r="P25" s="2">
        <f>'Generalized Data'!M40</f>
        <v>20</v>
      </c>
      <c r="Q25" s="91">
        <v>2011</v>
      </c>
      <c r="R25">
        <v>6</v>
      </c>
      <c r="S25" s="81">
        <f>'Generalized Data'!O40</f>
        <v>4</v>
      </c>
      <c r="U25" s="22"/>
      <c r="V25" s="22"/>
      <c r="W25" s="22"/>
      <c r="X25">
        <v>0.15</v>
      </c>
      <c r="Y25">
        <v>999</v>
      </c>
      <c r="Z25">
        <v>0.6</v>
      </c>
      <c r="AA25" s="23">
        <f t="shared" si="0"/>
        <v>48</v>
      </c>
      <c r="AB25" s="23">
        <f t="shared" si="1"/>
        <v>1200</v>
      </c>
    </row>
    <row r="26" spans="2:28" x14ac:dyDescent="0.2">
      <c r="D26" t="str">
        <f>$AF$8</f>
        <v>R_ES-FL-SpCool</v>
      </c>
      <c r="H26" s="18"/>
      <c r="I26" s="4"/>
      <c r="K26" s="4"/>
      <c r="M26" s="3"/>
      <c r="N26" s="3"/>
      <c r="P26" s="2"/>
      <c r="T26" s="79"/>
      <c r="AA26" s="23" t="str">
        <f t="shared" si="0"/>
        <v/>
      </c>
      <c r="AB26" s="23" t="str">
        <f t="shared" si="1"/>
        <v/>
      </c>
    </row>
    <row r="27" spans="2:28" x14ac:dyDescent="0.2">
      <c r="E27" t="s">
        <v>58</v>
      </c>
      <c r="H27" s="18"/>
      <c r="I27" s="4"/>
      <c r="K27" s="4"/>
      <c r="M27" s="3"/>
      <c r="N27" s="3"/>
      <c r="P27" s="2"/>
      <c r="R27" s="79"/>
      <c r="T27" s="79"/>
      <c r="AA27" s="23" t="str">
        <f t="shared" si="0"/>
        <v/>
      </c>
      <c r="AB27" s="23" t="str">
        <f t="shared" si="1"/>
        <v/>
      </c>
    </row>
    <row r="28" spans="2:28" x14ac:dyDescent="0.2">
      <c r="B28" t="str">
        <f>"R_ES-SH-FL_"&amp;RIGHT(C28,3)&amp;"01"</f>
        <v>R_ES-SH-FL_GAS01</v>
      </c>
      <c r="C28" t="s">
        <v>83</v>
      </c>
      <c r="D28" t="str">
        <f>$AF$6</f>
        <v>R_ES-FL-SpHeat</v>
      </c>
      <c r="F28">
        <f>Q28</f>
        <v>2011</v>
      </c>
      <c r="G28">
        <v>1</v>
      </c>
      <c r="H28" s="18">
        <f>'Generalized Data'!$C$3</f>
        <v>6.3071999999999999</v>
      </c>
      <c r="I28" s="4">
        <f>'Generalized Data'!C41</f>
        <v>2.2516985919999999</v>
      </c>
      <c r="K28" s="4">
        <f>'Generalized Data'!E41</f>
        <v>39.40472536</v>
      </c>
      <c r="M28" s="3">
        <f>'Generalized Data'!G41</f>
        <v>0.84</v>
      </c>
      <c r="N28" s="3"/>
      <c r="O28" s="3"/>
      <c r="P28" s="2">
        <f>'Generalized Data'!M41</f>
        <v>15</v>
      </c>
      <c r="Q28" s="91">
        <v>2011</v>
      </c>
      <c r="R28" s="78"/>
      <c r="T28" s="78"/>
      <c r="AA28" s="23"/>
      <c r="AB28" s="23"/>
    </row>
    <row r="29" spans="2:28" x14ac:dyDescent="0.2">
      <c r="B29" t="str">
        <f>"R_ES-SH-FL_"&amp;RIGHT(C29,3)&amp;"02"</f>
        <v>R_ES-SH-FL_GAS02</v>
      </c>
      <c r="C29" t="s">
        <v>83</v>
      </c>
      <c r="D29" t="str">
        <f>$AF$6</f>
        <v>R_ES-FL-SpHeat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Data'!C42</f>
        <v>10.716000000000001</v>
      </c>
      <c r="K29" s="4">
        <f>'Generalized Data'!E42</f>
        <v>214.32</v>
      </c>
      <c r="M29" s="3">
        <f>'Generalized Data'!G42</f>
        <v>0.9</v>
      </c>
      <c r="N29" s="3"/>
      <c r="O29" s="3"/>
      <c r="P29" s="2">
        <f>'Generalized Data'!M42</f>
        <v>20</v>
      </c>
      <c r="Q29" s="91">
        <v>2011</v>
      </c>
      <c r="R29" s="78"/>
      <c r="T29" s="78"/>
      <c r="AA29" s="23"/>
      <c r="AB29" s="23"/>
    </row>
    <row r="30" spans="2:28" x14ac:dyDescent="0.2">
      <c r="B30" t="str">
        <f>"R_ES-SH-FL_"&amp;RIGHT(C30,3)&amp;"03"</f>
        <v>R_ES-SH-FL_GAS03</v>
      </c>
      <c r="C30" t="s">
        <v>83</v>
      </c>
      <c r="D30" t="str">
        <f>$AF$6</f>
        <v>R_ES-FL-SpHeat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Data'!C43</f>
        <v>11.844000000000001</v>
      </c>
      <c r="K30" s="4">
        <f>'Generalized Data'!E43</f>
        <v>236.88</v>
      </c>
      <c r="M30" s="3">
        <f>'Generalized Data'!G43</f>
        <v>0.90500000000000003</v>
      </c>
      <c r="N30" s="3">
        <f>'Generalized Data'!H43</f>
        <v>0.66298342541436461</v>
      </c>
      <c r="O30" s="3"/>
      <c r="P30" s="2">
        <f>'Generalized Data'!M43</f>
        <v>20</v>
      </c>
      <c r="Q30" s="91">
        <v>2011</v>
      </c>
      <c r="R30" s="78"/>
      <c r="T30" s="78"/>
      <c r="AA30" s="23"/>
      <c r="AB30" s="23"/>
    </row>
    <row r="31" spans="2:28" x14ac:dyDescent="0.2">
      <c r="D31" t="str">
        <f>$AF$7</f>
        <v>R_ES-FL-WatHeat</v>
      </c>
      <c r="H31" s="18"/>
      <c r="I31" s="4"/>
      <c r="K31" s="4"/>
      <c r="M31" s="3"/>
      <c r="N31" s="3"/>
      <c r="O31" s="3"/>
      <c r="P31" s="2"/>
      <c r="R31" s="78"/>
      <c r="T31" s="78"/>
      <c r="AA31" s="23"/>
      <c r="AB31" s="23"/>
    </row>
    <row r="32" spans="2:28" x14ac:dyDescent="0.2">
      <c r="B32" t="str">
        <f>"R_ES-SH-FL_"&amp;RIGHT(C32,3)&amp;"04"</f>
        <v>R_ES-SH-FL_GAS04</v>
      </c>
      <c r="C32" t="s">
        <v>83</v>
      </c>
      <c r="D32" t="str">
        <f>$AF$6</f>
        <v>R_ES-FL-SpHeat</v>
      </c>
      <c r="F32">
        <f>Q32</f>
        <v>2011</v>
      </c>
      <c r="G32">
        <v>1</v>
      </c>
      <c r="H32" s="18">
        <f>'Generalized Data'!$C$4</f>
        <v>31.536000000000001</v>
      </c>
      <c r="I32" s="4">
        <f>'Generalized Data'!C44</f>
        <v>18.8</v>
      </c>
      <c r="K32" s="4">
        <f>'Generalized Data'!E44</f>
        <v>376</v>
      </c>
      <c r="M32" s="3">
        <f>'Generalized Data'!G44</f>
        <v>1.0249999999999999</v>
      </c>
      <c r="N32" s="3"/>
      <c r="O32" s="3"/>
      <c r="P32" s="2">
        <f>'Generalized Data'!M44</f>
        <v>20</v>
      </c>
      <c r="Q32" s="91">
        <v>2011</v>
      </c>
      <c r="R32" s="78"/>
      <c r="T32" s="78"/>
      <c r="AA32" s="23"/>
      <c r="AB32" s="23"/>
    </row>
    <row r="33" spans="2:28" x14ac:dyDescent="0.2">
      <c r="B33" t="str">
        <f>"R_ES-SH-FL_"&amp;RIGHT(C33,3)&amp;"05"</f>
        <v>R_ES-SH-FL_GAS05</v>
      </c>
      <c r="C33" t="s">
        <v>83</v>
      </c>
      <c r="D33" t="str">
        <f>$AF$6</f>
        <v>R_ES-FL-SpHeat</v>
      </c>
      <c r="F33">
        <f>Q33</f>
        <v>2011</v>
      </c>
      <c r="G33">
        <v>1</v>
      </c>
      <c r="H33" s="18">
        <f>'Generalized Data'!$C$4</f>
        <v>31.536000000000001</v>
      </c>
      <c r="I33" s="4">
        <f>'Generalized Data'!C45</f>
        <v>20.888888888888889</v>
      </c>
      <c r="K33" s="4">
        <f>'Generalized Data'!E45</f>
        <v>417.77777777777777</v>
      </c>
      <c r="M33" s="3">
        <f>'Generalized Data'!G45</f>
        <v>1.07</v>
      </c>
      <c r="N33" s="3">
        <f>'Generalized Data'!H45</f>
        <v>0.56074766355140182</v>
      </c>
      <c r="O33" s="3"/>
      <c r="P33" s="2">
        <f>'Generalized Data'!M45</f>
        <v>20</v>
      </c>
      <c r="Q33" s="91">
        <v>2011</v>
      </c>
      <c r="R33" s="78"/>
      <c r="T33" s="78"/>
      <c r="AA33" s="23"/>
      <c r="AB33" s="23"/>
    </row>
    <row r="34" spans="2:28" x14ac:dyDescent="0.2">
      <c r="D34" t="str">
        <f>$AF$7</f>
        <v>R_ES-FL-WatHeat</v>
      </c>
      <c r="H34" s="18"/>
      <c r="I34" s="4"/>
      <c r="K34" s="4"/>
      <c r="M34" s="3"/>
      <c r="N34" s="3"/>
      <c r="O34" s="3"/>
      <c r="P34" s="2"/>
      <c r="R34" s="78"/>
      <c r="T34" s="78"/>
      <c r="AA34" s="23" t="str">
        <f t="shared" si="0"/>
        <v/>
      </c>
      <c r="AB34" s="23" t="str">
        <f t="shared" si="1"/>
        <v/>
      </c>
    </row>
    <row r="35" spans="2:28" x14ac:dyDescent="0.2">
      <c r="B35" t="str">
        <f>"R_ES-SH-FL_"&amp;RIGHT(C35,3)&amp;"06"</f>
        <v>R_ES-SH-FL_GAS06</v>
      </c>
      <c r="C35" t="s">
        <v>83</v>
      </c>
      <c r="D35" t="str">
        <f>$AF$6</f>
        <v>R_ES-FL-SpHeat</v>
      </c>
      <c r="F35">
        <f>Q35</f>
        <v>2011</v>
      </c>
      <c r="H35" s="18">
        <f>'Generalized Data'!$C$4</f>
        <v>31.536000000000001</v>
      </c>
      <c r="I35" s="4">
        <f>'Generalized Data'!C46</f>
        <v>49.6</v>
      </c>
      <c r="J35" s="4">
        <f>'Generalized Data'!D46</f>
        <v>40.052</v>
      </c>
      <c r="K35" s="4">
        <f>'Generalized Data'!E46</f>
        <v>1240</v>
      </c>
      <c r="L35" s="4">
        <f>'Generalized Data'!F46</f>
        <v>1001.3</v>
      </c>
      <c r="M35" s="4">
        <v>1</v>
      </c>
      <c r="N35" s="3"/>
      <c r="P35" s="2">
        <f>'Generalized Data'!M46</f>
        <v>20</v>
      </c>
      <c r="Q35" s="91">
        <v>2011</v>
      </c>
      <c r="R35" s="78">
        <v>0.9</v>
      </c>
      <c r="T35" s="81">
        <f>'Generalized Data'!$O$46</f>
        <v>1.5</v>
      </c>
      <c r="U35" s="22">
        <f>T35</f>
        <v>1.5</v>
      </c>
      <c r="V35" s="22">
        <f>U35</f>
        <v>1.5</v>
      </c>
      <c r="W35" s="22">
        <f>V35</f>
        <v>1.5</v>
      </c>
      <c r="X35">
        <v>0.15</v>
      </c>
      <c r="Y35">
        <v>999</v>
      </c>
      <c r="Z35">
        <v>0.6</v>
      </c>
      <c r="AA35" s="23">
        <f t="shared" si="0"/>
        <v>49.6</v>
      </c>
      <c r="AB35" s="23">
        <f t="shared" si="1"/>
        <v>1240</v>
      </c>
    </row>
    <row r="36" spans="2:28" x14ac:dyDescent="0.2">
      <c r="D36" t="str">
        <f>$AF$8</f>
        <v>R_ES-FL-SpCool</v>
      </c>
      <c r="H36" s="18"/>
      <c r="I36" s="4"/>
      <c r="J36" s="4"/>
      <c r="K36" s="4"/>
      <c r="L36" s="4"/>
      <c r="M36" s="3"/>
      <c r="N36" s="3"/>
      <c r="P36" s="2"/>
      <c r="R36" s="78"/>
      <c r="T36" s="78"/>
      <c r="AA36" s="23" t="str">
        <f t="shared" si="0"/>
        <v/>
      </c>
      <c r="AB36" s="23" t="str">
        <f t="shared" si="1"/>
        <v/>
      </c>
    </row>
    <row r="37" spans="2:28" x14ac:dyDescent="0.2">
      <c r="B37" t="str">
        <f>"R_ES-SH-FL_"&amp;RIGHT(C37,3)&amp;"07"</f>
        <v>R_ES-SH-FL_GAS07</v>
      </c>
      <c r="C37" t="s">
        <v>83</v>
      </c>
      <c r="D37" t="str">
        <f>$AF$6</f>
        <v>R_ES-FL-SpHeat</v>
      </c>
      <c r="F37">
        <f>Q37</f>
        <v>2011</v>
      </c>
      <c r="H37" s="18">
        <f>'Generalized Data'!$C$4</f>
        <v>31.536000000000001</v>
      </c>
      <c r="I37" s="4">
        <f>'Generalized Data'!C47</f>
        <v>61.6</v>
      </c>
      <c r="J37" s="4">
        <f>'Generalized Data'!D47</f>
        <v>62.261999999999993</v>
      </c>
      <c r="K37" s="4">
        <f>'Generalized Data'!E47</f>
        <v>1540</v>
      </c>
      <c r="L37" s="4">
        <f>'Generalized Data'!F47</f>
        <v>1244.3</v>
      </c>
      <c r="M37" s="4">
        <v>1</v>
      </c>
      <c r="N37" s="3"/>
      <c r="P37" s="2">
        <f>'Generalized Data'!M47</f>
        <v>20</v>
      </c>
      <c r="Q37" s="91">
        <v>2011</v>
      </c>
      <c r="R37" s="22">
        <v>1</v>
      </c>
      <c r="S37" s="82">
        <f>'Generalized Data'!$O$47</f>
        <v>2</v>
      </c>
      <c r="U37" s="22"/>
      <c r="V37" s="22"/>
      <c r="W37" s="22"/>
      <c r="X37">
        <v>0.15</v>
      </c>
      <c r="Y37">
        <v>999</v>
      </c>
      <c r="Z37">
        <v>0.6</v>
      </c>
      <c r="AA37" s="23">
        <f t="shared" si="0"/>
        <v>61.6</v>
      </c>
      <c r="AB37" s="23">
        <f t="shared" si="1"/>
        <v>1540</v>
      </c>
    </row>
    <row r="38" spans="2:28" x14ac:dyDescent="0.2">
      <c r="D38" t="str">
        <f>$AF$8</f>
        <v>R_ES-FL-SpCool</v>
      </c>
      <c r="H38" s="18"/>
      <c r="I38" s="4"/>
      <c r="K38" s="4"/>
      <c r="M38" s="3"/>
      <c r="N38" s="3"/>
      <c r="P38" s="2"/>
      <c r="R38" s="78"/>
      <c r="T38" s="78"/>
      <c r="AA38" s="23" t="str">
        <f t="shared" si="0"/>
        <v/>
      </c>
      <c r="AB38" s="23" t="str">
        <f t="shared" si="1"/>
        <v/>
      </c>
    </row>
    <row r="39" spans="2:28" x14ac:dyDescent="0.2">
      <c r="B39" t="str">
        <f>"R_ES-SH-FL_"&amp;RIGHT(C39,3)&amp;"01"</f>
        <v>R_ES-SH-FL_HH201</v>
      </c>
      <c r="C39" t="s">
        <v>92</v>
      </c>
      <c r="D39" t="str">
        <f>$AF$6</f>
        <v>R_ES-FL-SpHeat</v>
      </c>
      <c r="F39">
        <f>Q39</f>
        <v>2011</v>
      </c>
      <c r="G39">
        <v>1</v>
      </c>
      <c r="H39" s="18">
        <f>'Generalized Data'!$C$4</f>
        <v>31.536000000000001</v>
      </c>
      <c r="I39" s="4">
        <f>'Generalized Data'!C48</f>
        <v>104.41448042331427</v>
      </c>
      <c r="K39" s="4">
        <f>'Generalized Data'!E48</f>
        <v>1827.2534074079999</v>
      </c>
      <c r="M39" s="3">
        <f>'Generalized Data'!G48</f>
        <v>0.86</v>
      </c>
      <c r="N39" s="3"/>
      <c r="O39" s="3"/>
      <c r="P39" s="2">
        <f>'Generalized Data'!M48</f>
        <v>20</v>
      </c>
      <c r="Q39" s="91">
        <v>2011</v>
      </c>
      <c r="R39" s="78"/>
      <c r="T39" s="78"/>
      <c r="AA39" s="23"/>
      <c r="AB39" s="23"/>
    </row>
    <row r="40" spans="2:28" x14ac:dyDescent="0.2">
      <c r="F40">
        <v>2030</v>
      </c>
      <c r="H40" s="18"/>
      <c r="I40" s="4"/>
      <c r="K40" s="4"/>
      <c r="M40" s="3"/>
      <c r="N40" s="3"/>
      <c r="O40" s="3"/>
      <c r="P40" s="2"/>
      <c r="R40" s="78"/>
      <c r="T40" s="78"/>
      <c r="AA40" s="23"/>
      <c r="AB40" s="23"/>
    </row>
    <row r="41" spans="2:28" x14ac:dyDescent="0.2">
      <c r="B41" t="str">
        <f>"R_ES-SH-FL_"&amp;RIGHT(C41,3)&amp;"01"</f>
        <v>R_ES-SH-FL_LPG01</v>
      </c>
      <c r="C41" t="s">
        <v>85</v>
      </c>
      <c r="D41" t="str">
        <f>$AF$6</f>
        <v>R_ES-FL-SpHeat</v>
      </c>
      <c r="F41">
        <f>Q41</f>
        <v>2011</v>
      </c>
      <c r="G41">
        <v>1</v>
      </c>
      <c r="H41" s="18">
        <f>'Generalized Data'!$C$3</f>
        <v>6.3071999999999999</v>
      </c>
      <c r="I41" s="4">
        <f>'Generalized Data'!C49</f>
        <v>2.2516985919999999</v>
      </c>
      <c r="K41" s="4">
        <f>'Generalized Data'!E49</f>
        <v>39.40472536</v>
      </c>
      <c r="M41" s="3">
        <f>'Generalized Data'!G49</f>
        <v>0.84</v>
      </c>
      <c r="N41" s="3"/>
      <c r="O41" s="3"/>
      <c r="P41" s="2">
        <f>'Generalized Data'!M49</f>
        <v>15</v>
      </c>
      <c r="Q41" s="91">
        <v>2011</v>
      </c>
      <c r="R41" s="78"/>
      <c r="T41" s="78"/>
      <c r="AA41" s="23"/>
      <c r="AB41" s="23"/>
    </row>
    <row r="42" spans="2:28" x14ac:dyDescent="0.2">
      <c r="B42" t="str">
        <f>"R_ES-SH-FL_"&amp;RIGHT(C42,3)&amp;"02"</f>
        <v>R_ES-SH-FL_LPG02</v>
      </c>
      <c r="C42" t="s">
        <v>85</v>
      </c>
      <c r="D42" t="str">
        <f>$AF$6</f>
        <v>R_ES-FL-SpHeat</v>
      </c>
      <c r="F42">
        <f>Q42</f>
        <v>2011</v>
      </c>
      <c r="G42">
        <v>1</v>
      </c>
      <c r="H42" s="18">
        <f>'Generalized Data'!$C$4</f>
        <v>31.536000000000001</v>
      </c>
      <c r="I42" s="4">
        <f>'Generalized Data'!C50</f>
        <v>8.2749923256000013</v>
      </c>
      <c r="K42" s="4">
        <f>'Generalized Data'!E50</f>
        <v>165.499846512</v>
      </c>
      <c r="M42" s="3">
        <f>'Generalized Data'!G50</f>
        <v>0.88</v>
      </c>
      <c r="N42" s="3"/>
      <c r="O42" s="3"/>
      <c r="P42" s="2">
        <f>'Generalized Data'!M50</f>
        <v>20</v>
      </c>
      <c r="Q42" s="91">
        <v>2011</v>
      </c>
      <c r="R42" s="78"/>
      <c r="T42" s="78"/>
      <c r="AA42" s="23"/>
      <c r="AB42" s="23"/>
    </row>
    <row r="43" spans="2:28" x14ac:dyDescent="0.2">
      <c r="B43" t="str">
        <f>"R_ES-SH-FL_"&amp;RIGHT(C43,3)&amp;"03"</f>
        <v>R_ES-SH-FL_LPG03</v>
      </c>
      <c r="C43" t="s">
        <v>85</v>
      </c>
      <c r="D43" t="str">
        <f>$AF$6</f>
        <v>R_ES-FL-SpHeat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Data'!C51</f>
        <v>9.1024915581599988</v>
      </c>
      <c r="K43" s="4">
        <f>'Generalized Data'!E51</f>
        <v>182.04983116319997</v>
      </c>
      <c r="M43" s="3">
        <f>'Generalized Data'!G51</f>
        <v>0.91</v>
      </c>
      <c r="N43" s="3">
        <f>'Generalized Data'!H51</f>
        <v>0.65934065934065933</v>
      </c>
      <c r="O43" s="3"/>
      <c r="P43" s="2">
        <f>'Generalized Data'!M51</f>
        <v>20</v>
      </c>
      <c r="Q43" s="91">
        <v>2011</v>
      </c>
      <c r="R43" s="78"/>
      <c r="T43" s="78"/>
      <c r="AA43" s="23"/>
      <c r="AB43" s="23"/>
    </row>
    <row r="44" spans="2:28" x14ac:dyDescent="0.2">
      <c r="D44" t="str">
        <f>$AF$7</f>
        <v>R_ES-FL-WatHeat</v>
      </c>
      <c r="H44" s="18"/>
      <c r="I44" s="4"/>
      <c r="K44" s="4"/>
      <c r="M44" s="3"/>
      <c r="N44" s="3"/>
      <c r="O44" s="3"/>
      <c r="P44" s="2"/>
      <c r="R44" s="78"/>
      <c r="T44" s="78"/>
      <c r="AA44" s="23" t="str">
        <f t="shared" si="0"/>
        <v/>
      </c>
      <c r="AB44" s="23" t="str">
        <f t="shared" si="1"/>
        <v/>
      </c>
    </row>
    <row r="45" spans="2:28" x14ac:dyDescent="0.2">
      <c r="B45" t="str">
        <f>"R_ES-SH-FL_"&amp;RIGHT(C45,3)&amp;"04"</f>
        <v>R_ES-SH-FL_LPG04</v>
      </c>
      <c r="C45" t="s">
        <v>85</v>
      </c>
      <c r="D45" t="str">
        <f>$AF$6</f>
        <v>R_ES-FL-SpHeat</v>
      </c>
      <c r="F45">
        <f>Q45</f>
        <v>2011</v>
      </c>
      <c r="H45" s="18">
        <f>'Generalized Data'!$C$4</f>
        <v>31.536000000000001</v>
      </c>
      <c r="I45" s="4">
        <f>'Generalized Data'!C52</f>
        <v>49.6</v>
      </c>
      <c r="J45" s="4">
        <f>'Generalized Data'!D52</f>
        <v>40.052</v>
      </c>
      <c r="K45" s="4">
        <f>'Generalized Data'!E52</f>
        <v>1240</v>
      </c>
      <c r="L45" s="4">
        <f>'Generalized Data'!F52</f>
        <v>1001.3</v>
      </c>
      <c r="M45" s="4">
        <v>1</v>
      </c>
      <c r="N45" s="3"/>
      <c r="P45" s="2">
        <f>'Generalized Data'!M52</f>
        <v>20</v>
      </c>
      <c r="Q45" s="91">
        <v>2011</v>
      </c>
      <c r="R45" s="78">
        <f>R35</f>
        <v>0.9</v>
      </c>
      <c r="T45" s="78">
        <f>T35</f>
        <v>1.5</v>
      </c>
      <c r="U45" s="78">
        <f>U35</f>
        <v>1.5</v>
      </c>
      <c r="V45" s="78">
        <f>V35</f>
        <v>1.5</v>
      </c>
      <c r="W45" s="78">
        <f>W35</f>
        <v>1.5</v>
      </c>
      <c r="X45">
        <v>0.15</v>
      </c>
      <c r="Y45">
        <v>999</v>
      </c>
      <c r="Z45">
        <v>0.6</v>
      </c>
      <c r="AA45" s="23">
        <f t="shared" si="0"/>
        <v>49.6</v>
      </c>
      <c r="AB45" s="23">
        <f t="shared" si="1"/>
        <v>1240</v>
      </c>
    </row>
    <row r="46" spans="2:28" x14ac:dyDescent="0.2">
      <c r="D46" t="str">
        <f>$AF$8</f>
        <v>R_ES-FL-SpCool</v>
      </c>
      <c r="H46" s="18"/>
      <c r="I46" s="4"/>
      <c r="J46" s="4"/>
      <c r="K46" s="4"/>
      <c r="L46" s="4"/>
      <c r="M46" s="3"/>
      <c r="N46" s="3"/>
      <c r="P46" s="2"/>
      <c r="R46" s="78"/>
      <c r="T46" s="78"/>
      <c r="AA46" s="23" t="str">
        <f t="shared" si="0"/>
        <v/>
      </c>
      <c r="AB46" s="23" t="str">
        <f t="shared" si="1"/>
        <v/>
      </c>
    </row>
    <row r="47" spans="2:28" x14ac:dyDescent="0.2">
      <c r="B47" t="str">
        <f>"R_ES-SH-FL_"&amp;RIGHT(C47,3)&amp;"05"</f>
        <v>R_ES-SH-FL_LPG05</v>
      </c>
      <c r="C47" t="s">
        <v>85</v>
      </c>
      <c r="D47" t="str">
        <f>$AF$6</f>
        <v>R_ES-FL-SpHeat</v>
      </c>
      <c r="F47">
        <f>Q47</f>
        <v>2011</v>
      </c>
      <c r="H47" s="18">
        <f>'Generalized Data'!$C$4</f>
        <v>31.536000000000001</v>
      </c>
      <c r="I47" s="4">
        <f>'Generalized Data'!C53</f>
        <v>61.6</v>
      </c>
      <c r="J47" s="4">
        <f>'Generalized Data'!D53</f>
        <v>62.261999999999993</v>
      </c>
      <c r="K47" s="4">
        <f>'Generalized Data'!E53</f>
        <v>1540</v>
      </c>
      <c r="L47" s="4">
        <f>'Generalized Data'!F53</f>
        <v>1244.3</v>
      </c>
      <c r="M47" s="4">
        <v>1</v>
      </c>
      <c r="N47" s="3"/>
      <c r="P47" s="2">
        <f>'Generalized Data'!M53</f>
        <v>20</v>
      </c>
      <c r="Q47" s="91">
        <v>2011</v>
      </c>
      <c r="R47" s="79">
        <f>R37</f>
        <v>1</v>
      </c>
      <c r="S47" s="79">
        <f>S37</f>
        <v>2</v>
      </c>
      <c r="U47" s="79"/>
      <c r="V47" s="79"/>
      <c r="W47" s="79"/>
      <c r="X47">
        <v>0.15</v>
      </c>
      <c r="Y47">
        <v>999</v>
      </c>
      <c r="Z47">
        <v>0.6</v>
      </c>
      <c r="AA47" s="23">
        <f t="shared" si="0"/>
        <v>61.6</v>
      </c>
      <c r="AB47" s="23">
        <f t="shared" si="1"/>
        <v>1540</v>
      </c>
    </row>
    <row r="48" spans="2:28" x14ac:dyDescent="0.2">
      <c r="D48" t="str">
        <f>$AF$8</f>
        <v>R_ES-FL-SpCool</v>
      </c>
      <c r="H48" s="18"/>
      <c r="I48" s="4"/>
      <c r="K48" s="4"/>
      <c r="M48" s="3"/>
      <c r="N48" s="3"/>
      <c r="P48" s="2"/>
      <c r="R48" s="78"/>
      <c r="T48" s="78"/>
      <c r="U48" s="78"/>
      <c r="V48" s="78"/>
      <c r="W48" s="78"/>
    </row>
    <row r="49" spans="2:23" x14ac:dyDescent="0.2">
      <c r="B49" t="str">
        <f>"R_ES-SH-FL_"&amp;RIGHT(C49,3)&amp;"01"</f>
        <v>R_ES-SH-FL_HET01</v>
      </c>
      <c r="C49" s="30" t="s">
        <v>179</v>
      </c>
      <c r="D49" t="str">
        <f>$AF$6</f>
        <v>R_ES-FL-SpHeat</v>
      </c>
      <c r="F49">
        <f>Q49</f>
        <v>2011</v>
      </c>
      <c r="G49">
        <v>1</v>
      </c>
      <c r="H49" s="18">
        <f>'Generalized Data'!$C$4</f>
        <v>31.536000000000001</v>
      </c>
      <c r="I49" s="4">
        <f>'Generalized Data'!C54</f>
        <v>9.0067943679999996</v>
      </c>
      <c r="K49" s="4">
        <f>'Generalized Data'!E54</f>
        <v>237.55420145599999</v>
      </c>
      <c r="M49" s="3">
        <f>'Generalized Data'!G54</f>
        <v>0.95</v>
      </c>
      <c r="N49" s="3">
        <f>'Generalized Data'!H54</f>
        <v>0.81914893617021278</v>
      </c>
      <c r="O49" s="3"/>
      <c r="P49" s="2">
        <f>'Generalized Data'!M54</f>
        <v>20</v>
      </c>
      <c r="Q49" s="91">
        <v>2011</v>
      </c>
      <c r="R49" s="78"/>
      <c r="T49" s="78"/>
      <c r="U49" s="78"/>
      <c r="V49" s="78"/>
      <c r="W49" s="78"/>
    </row>
    <row r="50" spans="2:23" x14ac:dyDescent="0.2">
      <c r="D50" t="str">
        <f>$AF$7</f>
        <v>R_ES-FL-WatHeat</v>
      </c>
      <c r="H50" s="18"/>
      <c r="I50" s="4"/>
      <c r="K50" s="4"/>
      <c r="M50" s="3"/>
      <c r="N50" s="3"/>
      <c r="O50" s="3"/>
      <c r="P50" s="2"/>
      <c r="R50" s="78"/>
      <c r="T50" s="78"/>
      <c r="U50" s="78"/>
      <c r="V50" s="78"/>
      <c r="W50" s="78"/>
    </row>
    <row r="51" spans="2:23" x14ac:dyDescent="0.2">
      <c r="B51" t="str">
        <f>"R_ES-SH-FL_"&amp;RIGHT(C51,3)&amp;"01"</f>
        <v>R_ES-SH-FL_OIL01</v>
      </c>
      <c r="C51" t="s">
        <v>80</v>
      </c>
      <c r="D51" t="str">
        <f>$AF$6</f>
        <v>R_ES-FL-SpHeat</v>
      </c>
      <c r="F51">
        <f>Q51</f>
        <v>2011</v>
      </c>
      <c r="G51">
        <v>1</v>
      </c>
      <c r="H51" s="18">
        <f>'Generalized Data'!$C$3</f>
        <v>6.3071999999999999</v>
      </c>
      <c r="I51" s="4">
        <f>'Generalized Data'!C55</f>
        <v>8.4277861586285709</v>
      </c>
      <c r="K51" s="4">
        <f>'Generalized Data'!E55</f>
        <v>147.486257776</v>
      </c>
      <c r="M51" s="3">
        <f>'Generalized Data'!G55</f>
        <v>0.65</v>
      </c>
      <c r="N51" s="3"/>
      <c r="O51" s="3"/>
      <c r="P51" s="2">
        <f>'Generalized Data'!M55</f>
        <v>15</v>
      </c>
      <c r="Q51" s="91">
        <v>2011</v>
      </c>
      <c r="R51" s="78"/>
      <c r="T51" s="78"/>
      <c r="U51" s="78"/>
      <c r="V51" s="78"/>
      <c r="W51" s="78"/>
    </row>
    <row r="52" spans="2:23" x14ac:dyDescent="0.2">
      <c r="B52" t="str">
        <f>"R_ES-SH-FL_"&amp;RIGHT(C52,3)&amp;"02"</f>
        <v>R_ES-SH-FL_OIL02</v>
      </c>
      <c r="C52" t="s">
        <v>80</v>
      </c>
      <c r="D52" t="str">
        <f>$AF$6</f>
        <v>R_ES-FL-SpHeat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Data'!C56</f>
        <v>9.5</v>
      </c>
      <c r="K52" s="4">
        <f>'Generalized Data'!E56</f>
        <v>190</v>
      </c>
      <c r="M52" s="3">
        <f>'Generalized Data'!G56</f>
        <v>0.92</v>
      </c>
      <c r="N52" s="3"/>
      <c r="O52" s="3"/>
      <c r="P52" s="2">
        <f>'Generalized Data'!M56</f>
        <v>20</v>
      </c>
      <c r="Q52" s="91">
        <v>2011</v>
      </c>
      <c r="R52" s="78"/>
      <c r="T52" s="78"/>
      <c r="U52" s="78"/>
      <c r="V52" s="78"/>
      <c r="W52" s="78"/>
    </row>
    <row r="53" spans="2:23" x14ac:dyDescent="0.2">
      <c r="B53" t="str">
        <f>"R_ES-SH-FL_"&amp;RIGHT(C53,3)&amp;"03"</f>
        <v>R_ES-SH-FL_OIL03</v>
      </c>
      <c r="C53" t="s">
        <v>80</v>
      </c>
      <c r="D53" t="str">
        <f>$AF$6</f>
        <v>R_ES-FL-SpHeat</v>
      </c>
      <c r="F53">
        <f>Q53</f>
        <v>2011</v>
      </c>
      <c r="G53">
        <v>1</v>
      </c>
      <c r="H53" s="18">
        <f>'Generalized Data'!$C$4</f>
        <v>31.536000000000001</v>
      </c>
      <c r="I53" s="4">
        <f>'Generalized Data'!C57</f>
        <v>10.450000000000001</v>
      </c>
      <c r="K53" s="4">
        <f>'Generalized Data'!E57</f>
        <v>209</v>
      </c>
      <c r="M53" s="3">
        <f>'Generalized Data'!G57</f>
        <v>0.91</v>
      </c>
      <c r="N53" s="3">
        <f>'Generalized Data'!H57</f>
        <v>0.4175824175824176</v>
      </c>
      <c r="O53" s="3"/>
      <c r="P53" s="2">
        <f>'Generalized Data'!M57</f>
        <v>20</v>
      </c>
      <c r="Q53" s="91">
        <v>2011</v>
      </c>
      <c r="R53" s="78"/>
      <c r="T53" s="78"/>
      <c r="U53" s="78"/>
      <c r="V53" s="78"/>
      <c r="W53" s="78"/>
    </row>
    <row r="54" spans="2:23" x14ac:dyDescent="0.2">
      <c r="D54" t="str">
        <f>$AF$7</f>
        <v>R_ES-FL-WatHeat</v>
      </c>
      <c r="H54" s="18"/>
      <c r="I54" s="4"/>
      <c r="K54" s="4"/>
      <c r="M54" s="3"/>
      <c r="N54" s="3"/>
      <c r="O54" s="3"/>
      <c r="P54" s="2"/>
      <c r="R54" s="78"/>
      <c r="T54" s="78"/>
      <c r="U54" s="78"/>
      <c r="V54" s="78"/>
      <c r="W54" s="78"/>
    </row>
    <row r="55" spans="2:23" x14ac:dyDescent="0.2">
      <c r="B55" t="str">
        <f>"R_ES-SH-FL_"&amp;RIGHT(C55,3)&amp;"04"</f>
        <v>R_ES-SH-FL_OIL04</v>
      </c>
      <c r="C55" t="s">
        <v>80</v>
      </c>
      <c r="D55" t="str">
        <f>$AF$6</f>
        <v>R_ES-FL-SpHeat</v>
      </c>
      <c r="F55">
        <f>Q55</f>
        <v>2011</v>
      </c>
      <c r="G55">
        <v>1</v>
      </c>
      <c r="H55" s="18">
        <f>'Generalized Data'!$C$4</f>
        <v>31.536000000000001</v>
      </c>
      <c r="I55" s="4">
        <f>'Generalized Data'!C58</f>
        <v>15.7055976792</v>
      </c>
      <c r="K55" s="4">
        <f>'Generalized Data'!E58</f>
        <v>314.11195358399999</v>
      </c>
      <c r="M55" s="3">
        <f>'Generalized Data'!G58</f>
        <v>1</v>
      </c>
      <c r="N55" s="3">
        <f>'Generalized Data'!H58</f>
        <v>0.38</v>
      </c>
      <c r="O55" s="3"/>
      <c r="P55" s="2">
        <f>'Generalized Data'!M58</f>
        <v>20</v>
      </c>
      <c r="Q55" s="91">
        <v>2011</v>
      </c>
      <c r="R55" s="78"/>
      <c r="T55" s="78"/>
      <c r="U55" s="78"/>
      <c r="V55" s="78"/>
      <c r="W55" s="78"/>
    </row>
    <row r="56" spans="2:23" x14ac:dyDescent="0.2">
      <c r="D56" t="str">
        <f>$AF$7</f>
        <v>R_ES-FL-WatHeat</v>
      </c>
      <c r="H56" s="18"/>
      <c r="I56" s="4"/>
      <c r="K56" s="4"/>
      <c r="M56" s="3"/>
      <c r="N56" s="3"/>
      <c r="O56" s="3"/>
      <c r="P56" s="2"/>
      <c r="R56" s="78"/>
      <c r="T56" s="78"/>
      <c r="U56" s="78"/>
      <c r="V56" s="78"/>
      <c r="W56" s="78"/>
    </row>
    <row r="57" spans="2:23" x14ac:dyDescent="0.2">
      <c r="B57" t="str">
        <f>"R_ES-SH-FL_"&amp;RIGHT(C57,3)&amp;"08"</f>
        <v>R_ES-SH-FL_ELC08</v>
      </c>
      <c r="C57" t="s">
        <v>81</v>
      </c>
      <c r="D57" t="str">
        <f>$AF$6</f>
        <v>R_ES-FL-SpHeat</v>
      </c>
      <c r="F57">
        <f>Q57</f>
        <v>2011</v>
      </c>
      <c r="G57">
        <v>1</v>
      </c>
      <c r="H57" s="18">
        <f>'Generalized Data'!$C$4</f>
        <v>31.536000000000001</v>
      </c>
      <c r="I57" s="4">
        <f>'Generalized Data'!C59</f>
        <v>46.053599999999996</v>
      </c>
      <c r="K57" s="4">
        <f>'Generalized Data'!E59</f>
        <v>2302.6799999999998</v>
      </c>
      <c r="M57" s="3">
        <f>'Generalized Data'!G59</f>
        <v>1</v>
      </c>
      <c r="N57" s="3">
        <f>'Generalized Data'!H59</f>
        <v>0.88</v>
      </c>
      <c r="O57" s="3">
        <f>'Generalized Data'!J59</f>
        <v>0.68</v>
      </c>
      <c r="P57" s="2">
        <f>'Generalized Data'!M59</f>
        <v>20</v>
      </c>
      <c r="Q57" s="91">
        <v>2011</v>
      </c>
      <c r="R57" s="78"/>
      <c r="T57" s="78"/>
      <c r="U57" s="78"/>
      <c r="V57" s="78"/>
      <c r="W57" s="78"/>
    </row>
    <row r="58" spans="2:23" x14ac:dyDescent="0.2">
      <c r="C58" t="s">
        <v>86</v>
      </c>
      <c r="D58" t="str">
        <f>$AF$7</f>
        <v>R_ES-FL-WatHeat</v>
      </c>
      <c r="H58" s="18"/>
      <c r="I58" s="4"/>
      <c r="K58" s="4"/>
      <c r="M58" s="3"/>
      <c r="N58" s="3"/>
      <c r="O58" s="3"/>
      <c r="P58" s="2"/>
      <c r="R58" s="78"/>
      <c r="T58" s="78"/>
      <c r="U58" s="78"/>
      <c r="V58" s="78"/>
      <c r="W58" s="78"/>
    </row>
    <row r="59" spans="2:23" x14ac:dyDescent="0.2">
      <c r="B59" t="str">
        <f>"R_ES-SH-FL_"&amp;RIGHT(C59,3)&amp;"05"</f>
        <v>R_ES-SH-FL_OIL05</v>
      </c>
      <c r="C59" t="s">
        <v>80</v>
      </c>
      <c r="D59" t="str">
        <f>$AF$6</f>
        <v>R_ES-FL-SpHeat</v>
      </c>
      <c r="F59">
        <f>Q59</f>
        <v>2011</v>
      </c>
      <c r="G59">
        <v>1</v>
      </c>
      <c r="H59" s="18">
        <f>'Generalized Data'!$C$4</f>
        <v>31.536000000000001</v>
      </c>
      <c r="I59" s="4">
        <f>'Generalized Data'!C60</f>
        <v>47.64</v>
      </c>
      <c r="K59" s="4">
        <f>'Generalized Data'!E60</f>
        <v>2382</v>
      </c>
      <c r="M59" s="3">
        <f>'Generalized Data'!G60</f>
        <v>1</v>
      </c>
      <c r="N59" s="3">
        <f>'Generalized Data'!H60</f>
        <v>0.56842105263157905</v>
      </c>
      <c r="O59" s="3">
        <f>'Generalized Data'!J60</f>
        <v>0.71</v>
      </c>
      <c r="P59" s="2">
        <f>'Generalized Data'!M60</f>
        <v>20</v>
      </c>
      <c r="Q59" s="91">
        <v>2011</v>
      </c>
      <c r="R59" s="78"/>
      <c r="T59" s="78"/>
      <c r="U59" s="78"/>
      <c r="V59" s="78"/>
      <c r="W59" s="78"/>
    </row>
    <row r="60" spans="2:23" x14ac:dyDescent="0.2">
      <c r="C60" t="s">
        <v>86</v>
      </c>
      <c r="D60" t="str">
        <f>$AF$7</f>
        <v>R_ES-FL-WatHeat</v>
      </c>
      <c r="H60" s="18"/>
      <c r="I60" s="4"/>
      <c r="K60" s="4"/>
      <c r="M60" s="3"/>
      <c r="N60" s="3"/>
      <c r="O60" s="3"/>
      <c r="P60" s="2"/>
      <c r="R60" s="78"/>
      <c r="T60" s="78"/>
      <c r="U60" s="78"/>
      <c r="V60" s="78"/>
      <c r="W60" s="78"/>
    </row>
    <row r="61" spans="2:23" x14ac:dyDescent="0.2">
      <c r="B61" t="str">
        <f>"R_ES-SH-FL_"&amp;RIGHT(C61,3)&amp;"08"</f>
        <v>R_ES-SH-FL_GAS08</v>
      </c>
      <c r="C61" t="s">
        <v>83</v>
      </c>
      <c r="D61" t="str">
        <f>$AF$6</f>
        <v>R_ES-FL-SpHeat</v>
      </c>
      <c r="F61">
        <f>Q61</f>
        <v>2011</v>
      </c>
      <c r="G61">
        <v>1</v>
      </c>
      <c r="H61" s="18">
        <f>'Generalized Data'!$C$4</f>
        <v>31.536000000000001</v>
      </c>
      <c r="I61" s="4">
        <f>'Generalized Data'!C61</f>
        <v>47.64</v>
      </c>
      <c r="K61" s="4">
        <f>'Generalized Data'!E61</f>
        <v>2382</v>
      </c>
      <c r="M61" s="3">
        <f>'Generalized Data'!G61</f>
        <v>1</v>
      </c>
      <c r="N61" s="3">
        <f>'Generalized Data'!H61</f>
        <v>0.56842105263157905</v>
      </c>
      <c r="O61" s="3">
        <f>'Generalized Data'!J61</f>
        <v>0.68</v>
      </c>
      <c r="P61" s="2">
        <f>'Generalized Data'!M61</f>
        <v>20</v>
      </c>
      <c r="Q61" s="91">
        <v>2011</v>
      </c>
      <c r="R61" s="78"/>
      <c r="T61" s="78"/>
      <c r="U61" s="78"/>
      <c r="V61" s="78"/>
      <c r="W61" s="78"/>
    </row>
    <row r="62" spans="2:23" x14ac:dyDescent="0.2">
      <c r="C62" t="s">
        <v>86</v>
      </c>
      <c r="D62" t="str">
        <f>$AF$7</f>
        <v>R_ES-FL-WatHeat</v>
      </c>
      <c r="H62" s="18"/>
      <c r="I62" s="4"/>
      <c r="K62" s="4"/>
      <c r="M62" s="3"/>
      <c r="N62" s="3"/>
      <c r="O62" s="3"/>
      <c r="P62" s="2"/>
      <c r="R62" s="78"/>
      <c r="T62" s="78"/>
      <c r="U62" s="78"/>
      <c r="V62" s="78"/>
      <c r="W62" s="78"/>
    </row>
    <row r="63" spans="2:23" x14ac:dyDescent="0.2">
      <c r="B63" t="str">
        <f>"R_ES-SH-FL_"&amp;RIGHT(C63,3)&amp;"03"</f>
        <v>R_ES-SH-FL_BIO03</v>
      </c>
      <c r="C63" t="s">
        <v>79</v>
      </c>
      <c r="D63" t="str">
        <f>$AF$6</f>
        <v>R_ES-FL-SpHeat</v>
      </c>
      <c r="F63">
        <f>Q63</f>
        <v>2011</v>
      </c>
      <c r="G63">
        <v>1</v>
      </c>
      <c r="H63" s="18">
        <f>'Generalized Data'!$C$4</f>
        <v>31.536000000000001</v>
      </c>
      <c r="I63" s="4">
        <f>'Generalized Data'!C62</f>
        <v>24.35</v>
      </c>
      <c r="K63" s="4">
        <f>'Generalized Data'!E62</f>
        <v>487</v>
      </c>
      <c r="M63" s="3">
        <f>'Generalized Data'!G62</f>
        <v>0.85</v>
      </c>
      <c r="N63" s="3">
        <f>'Generalized Data'!H62</f>
        <v>0.4175824175824176</v>
      </c>
      <c r="O63" s="3"/>
      <c r="P63" s="2">
        <f>'Generalized Data'!M62</f>
        <v>20</v>
      </c>
      <c r="Q63" s="91">
        <v>2011</v>
      </c>
      <c r="R63" s="78"/>
      <c r="T63" s="78"/>
      <c r="U63" s="78"/>
      <c r="V63" s="78"/>
      <c r="W63" s="78"/>
    </row>
    <row r="64" spans="2:23" x14ac:dyDescent="0.2">
      <c r="D64" t="str">
        <f>$AF$7</f>
        <v>R_ES-FL-WatHeat</v>
      </c>
      <c r="H64" s="18"/>
      <c r="I64" s="4"/>
      <c r="K64" s="4"/>
      <c r="M64" s="3"/>
      <c r="N64" s="3"/>
      <c r="O64" s="3"/>
      <c r="R64" s="2"/>
    </row>
    <row r="65" spans="1:23" x14ac:dyDescent="0.2">
      <c r="H65" s="18"/>
      <c r="I65" s="4"/>
      <c r="J65" s="4"/>
      <c r="K65" s="3"/>
      <c r="L65" s="3"/>
      <c r="M65" s="3"/>
      <c r="Q65" s="2"/>
    </row>
    <row r="66" spans="1:23" x14ac:dyDescent="0.2">
      <c r="H66" s="18"/>
      <c r="I66" s="4"/>
      <c r="J66" s="4"/>
      <c r="K66" s="3"/>
      <c r="L66" s="3"/>
      <c r="M66" s="3"/>
      <c r="Q66" s="2"/>
    </row>
    <row r="67" spans="1:23" x14ac:dyDescent="0.2">
      <c r="A67" s="6" t="s">
        <v>278</v>
      </c>
      <c r="G67" t="s">
        <v>230</v>
      </c>
    </row>
    <row r="68" spans="1:23" x14ac:dyDescent="0.2">
      <c r="A68" s="6" t="s">
        <v>437</v>
      </c>
    </row>
    <row r="69" spans="1:23" x14ac:dyDescent="0.2">
      <c r="B69" s="1"/>
      <c r="E69" s="1" t="s">
        <v>15</v>
      </c>
      <c r="G69" s="2"/>
      <c r="H69" s="5"/>
      <c r="I69" s="4"/>
      <c r="J69" s="3"/>
      <c r="K69" s="3"/>
      <c r="L69" s="3"/>
    </row>
    <row r="70" spans="1:23" ht="39" thickBot="1" x14ac:dyDescent="0.25">
      <c r="A70" s="7" t="s">
        <v>16</v>
      </c>
      <c r="B70" s="7" t="s">
        <v>17</v>
      </c>
      <c r="C70" s="8" t="s">
        <v>19</v>
      </c>
      <c r="D70" s="8" t="s">
        <v>20</v>
      </c>
      <c r="E70" s="8" t="s">
        <v>21</v>
      </c>
      <c r="F70" s="9" t="s">
        <v>463</v>
      </c>
      <c r="G70" s="10" t="s">
        <v>23</v>
      </c>
      <c r="H70" s="12" t="s">
        <v>24</v>
      </c>
      <c r="I70" s="13" t="s">
        <v>25</v>
      </c>
      <c r="J70" s="11" t="s">
        <v>258</v>
      </c>
      <c r="K70" s="9" t="str">
        <f>CONCATENATE("CEFF~",AF7)</f>
        <v>CEFF~R_ES-FL-WatHeat</v>
      </c>
      <c r="L70" s="9" t="str">
        <f>CONCATENATE("CEFF~",AF8)</f>
        <v>CEFF~R_ES-FL-SpCool</v>
      </c>
      <c r="M70" s="10" t="s">
        <v>78</v>
      </c>
      <c r="N70" s="10" t="s">
        <v>77</v>
      </c>
      <c r="O70" s="10" t="s">
        <v>276</v>
      </c>
      <c r="P70" s="10" t="s">
        <v>26</v>
      </c>
      <c r="Q70" s="10" t="s">
        <v>29</v>
      </c>
      <c r="R70" s="10"/>
      <c r="S70" s="10"/>
      <c r="T70" s="10"/>
      <c r="U70" s="10"/>
      <c r="V70" s="10"/>
      <c r="W70" s="10"/>
    </row>
    <row r="71" spans="1:23" x14ac:dyDescent="0.2">
      <c r="B71" t="str">
        <f>"R_ES-WH-FL_"&amp;RIGHT(C71,3)&amp;"01"</f>
        <v>R_ES-WH-FL_BIO01</v>
      </c>
      <c r="C71" t="s">
        <v>79</v>
      </c>
      <c r="D71" t="str">
        <f>$AF$7</f>
        <v>R_ES-FL-WatHeat</v>
      </c>
      <c r="E71">
        <f>Q71</f>
        <v>2011</v>
      </c>
      <c r="F71">
        <v>1</v>
      </c>
      <c r="G71" s="18">
        <f>'Generalized Data'!$C$4</f>
        <v>31.536000000000001</v>
      </c>
      <c r="H71" s="4">
        <f>'Generalized Data'!C64</f>
        <v>9.2319642272000006</v>
      </c>
      <c r="I71" s="4">
        <f>'Generalized Data'!E64</f>
        <v>184.63928454399999</v>
      </c>
      <c r="J71" s="4">
        <f>'Generalized Data'!G64</f>
        <v>0.5</v>
      </c>
      <c r="K71" s="3"/>
      <c r="L71" s="3"/>
      <c r="M71" s="3"/>
      <c r="N71" s="3"/>
      <c r="O71" s="3"/>
      <c r="P71" s="2">
        <f>'Generalized Data'!M64</f>
        <v>20</v>
      </c>
      <c r="Q71" s="91">
        <v>2011</v>
      </c>
    </row>
    <row r="72" spans="1:23" x14ac:dyDescent="0.2">
      <c r="B72" t="str">
        <f>"R_ES-WH-FL_"&amp;RIGHT(C72,3)&amp;"01"</f>
        <v>R_ES-WH-FL_ELC01</v>
      </c>
      <c r="C72" t="s">
        <v>81</v>
      </c>
      <c r="D72" t="str">
        <f>$AF$7</f>
        <v>R_ES-FL-WatHeat</v>
      </c>
      <c r="E72">
        <f>Q72</f>
        <v>2011</v>
      </c>
      <c r="F72">
        <v>1</v>
      </c>
      <c r="G72" s="18">
        <f>'Generalized Data'!$C$4</f>
        <v>31.536000000000001</v>
      </c>
      <c r="H72" s="4">
        <f>'Generalized Data'!C65</f>
        <v>1.4849999999999999</v>
      </c>
      <c r="I72" s="4">
        <f>'Generalized Data'!E65</f>
        <v>135</v>
      </c>
      <c r="J72" s="4">
        <f>'Generalized Data'!G65</f>
        <v>1</v>
      </c>
      <c r="K72" s="3"/>
      <c r="L72" s="3"/>
      <c r="M72" s="3"/>
      <c r="N72" s="3"/>
      <c r="O72" s="3"/>
      <c r="P72" s="2">
        <f>'Generalized Data'!M65</f>
        <v>15</v>
      </c>
      <c r="Q72" s="91">
        <v>2011</v>
      </c>
    </row>
    <row r="73" spans="1:23" x14ac:dyDescent="0.2">
      <c r="B73" t="str">
        <f>"R_ES-WH-FL_"&amp;RIGHT(C73,3)&amp;"02"</f>
        <v>R_ES-WH-FL_ELC02</v>
      </c>
      <c r="C73" t="s">
        <v>81</v>
      </c>
      <c r="D73" t="str">
        <f>$AF$7</f>
        <v>R_ES-FL-WatHeat</v>
      </c>
      <c r="E73">
        <f>Q73</f>
        <v>2011</v>
      </c>
      <c r="F73">
        <v>1</v>
      </c>
      <c r="G73" s="18">
        <f>'Generalized Data'!$C$4</f>
        <v>31.536000000000001</v>
      </c>
      <c r="H73" s="4">
        <f>'Generalized Data'!C66</f>
        <v>101.7</v>
      </c>
      <c r="I73" s="4">
        <f>'Generalized Data'!E66</f>
        <v>2034</v>
      </c>
      <c r="J73" s="4">
        <f>'Generalized Data'!G66</f>
        <v>1</v>
      </c>
      <c r="K73" s="4"/>
      <c r="L73" s="4"/>
      <c r="N73" s="4">
        <f>'Generalized Data'!J66</f>
        <v>0.57264957264957261</v>
      </c>
      <c r="O73" s="4"/>
      <c r="P73" s="2">
        <f>'Generalized Data'!M66</f>
        <v>15</v>
      </c>
      <c r="Q73" s="91">
        <v>2011</v>
      </c>
    </row>
    <row r="74" spans="1:23" x14ac:dyDescent="0.2">
      <c r="C74" t="s">
        <v>82</v>
      </c>
      <c r="G74" s="18"/>
      <c r="H74" s="4"/>
      <c r="I74" s="4"/>
      <c r="J74" s="4"/>
      <c r="K74" s="3"/>
      <c r="L74" s="3"/>
      <c r="M74" s="3"/>
      <c r="N74" s="3"/>
      <c r="O74" s="3"/>
      <c r="P74" s="2"/>
    </row>
    <row r="75" spans="1:23" x14ac:dyDescent="0.2">
      <c r="B75" t="str">
        <f>"R_ES-WH-FL_"&amp;RIGHT(C75,3)&amp;"01"</f>
        <v>R_ES-WH-FL_GAS01</v>
      </c>
      <c r="C75" t="s">
        <v>83</v>
      </c>
      <c r="D75" t="str">
        <f>$AF$7</f>
        <v>R_ES-FL-WatHeat</v>
      </c>
      <c r="E75">
        <f>Q75</f>
        <v>2011</v>
      </c>
      <c r="F75">
        <v>1</v>
      </c>
      <c r="G75" s="18">
        <f>'Generalized Data'!$C$4</f>
        <v>31.536000000000001</v>
      </c>
      <c r="H75" s="4">
        <f>'Generalized Data'!C67</f>
        <v>7.65</v>
      </c>
      <c r="I75" s="4">
        <f>'Generalized Data'!E67</f>
        <v>153</v>
      </c>
      <c r="J75" s="4">
        <f>'Generalized Data'!G67</f>
        <v>0.76</v>
      </c>
      <c r="K75" s="4"/>
      <c r="L75" s="4"/>
      <c r="M75" s="4"/>
      <c r="N75" s="4"/>
      <c r="O75" s="3"/>
      <c r="P75" s="2">
        <f>'Generalized Data'!M67</f>
        <v>15</v>
      </c>
      <c r="Q75" s="91">
        <v>2011</v>
      </c>
    </row>
    <row r="76" spans="1:23" x14ac:dyDescent="0.2">
      <c r="B76" t="str">
        <f>"R_ES-WH-FL_"&amp;RIGHT(C76,3)&amp;"01"</f>
        <v>R_ES-WH-FL_GEO01</v>
      </c>
      <c r="C76" t="s">
        <v>84</v>
      </c>
      <c r="D76" t="str">
        <f>$AF$7</f>
        <v>R_ES-FL-WatHeat</v>
      </c>
      <c r="E76">
        <f>Q76</f>
        <v>2011</v>
      </c>
      <c r="F76">
        <v>1</v>
      </c>
      <c r="G76" s="18">
        <f>'Generalized Data'!$C$4</f>
        <v>31.536000000000001</v>
      </c>
      <c r="H76" s="4">
        <f>'Generalized Data'!C68</f>
        <v>20.265287327999999</v>
      </c>
      <c r="I76" s="4">
        <f>'Generalized Data'!E68</f>
        <v>1031.2779551359999</v>
      </c>
      <c r="J76" s="4">
        <f>'Generalized Data'!G68</f>
        <v>1</v>
      </c>
      <c r="K76" s="4"/>
      <c r="L76" s="4"/>
      <c r="M76" s="4"/>
      <c r="N76" s="4"/>
      <c r="O76" s="4"/>
      <c r="P76" s="2">
        <f>'Generalized Data'!M68</f>
        <v>20</v>
      </c>
      <c r="Q76" s="91">
        <v>2011</v>
      </c>
    </row>
    <row r="77" spans="1:23" x14ac:dyDescent="0.2">
      <c r="B77" t="str">
        <f>"R_ES-WH-FL_"&amp;RIGHT(C77,3)&amp;"01"</f>
        <v>R_ES-WH-FL_LPG01</v>
      </c>
      <c r="C77" t="s">
        <v>85</v>
      </c>
      <c r="D77" t="str">
        <f>$AF$7</f>
        <v>R_ES-FL-WatHeat</v>
      </c>
      <c r="E77">
        <f>Q77</f>
        <v>2011</v>
      </c>
      <c r="F77">
        <v>1</v>
      </c>
      <c r="G77" s="18">
        <f>'Generalized Data'!$C$4</f>
        <v>31.536000000000001</v>
      </c>
      <c r="H77" s="4">
        <f>'Generalized Data'!C69</f>
        <v>3.0397930992000002</v>
      </c>
      <c r="I77" s="4">
        <f>'Generalized Data'!E69</f>
        <v>60.795861983999998</v>
      </c>
      <c r="J77" s="4">
        <f>'Generalized Data'!G69</f>
        <v>0.73</v>
      </c>
      <c r="K77" s="3"/>
      <c r="L77" s="3"/>
      <c r="M77" s="3"/>
      <c r="N77" s="3"/>
      <c r="O77" s="3"/>
      <c r="P77" s="2">
        <f>'Generalized Data'!M69</f>
        <v>15</v>
      </c>
      <c r="Q77" s="91">
        <v>2011</v>
      </c>
    </row>
    <row r="78" spans="1:23" x14ac:dyDescent="0.2">
      <c r="B78" t="str">
        <f>"R_ES-WH-FL_"&amp;RIGHT(C78,3)&amp;"01"</f>
        <v>R_ES-WH-FL_OIL01</v>
      </c>
      <c r="C78" t="s">
        <v>80</v>
      </c>
      <c r="D78" t="str">
        <f>$AF$7</f>
        <v>R_ES-FL-WatHeat</v>
      </c>
      <c r="E78">
        <f>Q78</f>
        <v>2011</v>
      </c>
      <c r="F78">
        <v>1</v>
      </c>
      <c r="G78" s="18">
        <f>'Generalized Data'!$C$4</f>
        <v>31.536000000000001</v>
      </c>
      <c r="H78" s="4">
        <f>'Generalized Data'!C70</f>
        <v>8.5</v>
      </c>
      <c r="I78" s="4">
        <f>'Generalized Data'!E70</f>
        <v>170</v>
      </c>
      <c r="J78" s="4">
        <f>'Generalized Data'!G70</f>
        <v>0.7</v>
      </c>
      <c r="K78" s="3"/>
      <c r="L78" s="3"/>
      <c r="M78" s="3"/>
      <c r="N78" s="3"/>
      <c r="O78" s="3"/>
      <c r="P78" s="2">
        <f>'Generalized Data'!M70</f>
        <v>15</v>
      </c>
      <c r="Q78" s="91">
        <v>2011</v>
      </c>
    </row>
    <row r="79" spans="1:23" x14ac:dyDescent="0.2">
      <c r="B79" t="str">
        <f>"R_ES-WH-FL_"&amp;RIGHT(C79,3)&amp;"03"</f>
        <v>R_ES-WH-FL_ELC03</v>
      </c>
      <c r="C79" t="s">
        <v>81</v>
      </c>
      <c r="D79" t="str">
        <f>$AF$7</f>
        <v>R_ES-FL-WatHeat</v>
      </c>
      <c r="E79">
        <f>Q79</f>
        <v>2011</v>
      </c>
      <c r="F79">
        <v>1</v>
      </c>
      <c r="G79" s="18">
        <f>'Generalized Data'!$C$4</f>
        <v>31.536000000000001</v>
      </c>
      <c r="H79" s="4">
        <f>'Generalized Data'!C71</f>
        <v>41.26</v>
      </c>
      <c r="I79" s="4">
        <f>'Generalized Data'!E71</f>
        <v>2063</v>
      </c>
      <c r="J79" s="50">
        <f>'Generalized Data'!G71</f>
        <v>1</v>
      </c>
      <c r="K79" s="4"/>
      <c r="L79" s="4"/>
      <c r="M79" s="4">
        <f>'Generalized Data'!J71</f>
        <v>0.5</v>
      </c>
      <c r="N79" s="4"/>
      <c r="O79" s="4"/>
      <c r="P79" s="2">
        <f>'Generalized Data'!M71</f>
        <v>15</v>
      </c>
      <c r="Q79" s="91">
        <v>2011</v>
      </c>
    </row>
    <row r="80" spans="1:23" x14ac:dyDescent="0.2">
      <c r="C80" t="s">
        <v>86</v>
      </c>
      <c r="E80">
        <v>2020</v>
      </c>
      <c r="G80" s="18"/>
      <c r="H80" s="4"/>
      <c r="I80" s="4">
        <f>'Generalized Data'!K71</f>
        <v>1358</v>
      </c>
      <c r="J80" s="4"/>
      <c r="K80" s="3"/>
      <c r="L80" s="3"/>
      <c r="M80" s="3"/>
      <c r="N80" s="3"/>
      <c r="O80" s="3"/>
      <c r="P80" s="2"/>
    </row>
    <row r="81" spans="1:23" x14ac:dyDescent="0.2">
      <c r="B81" t="str">
        <f>"R_ES-WH-FL_"&amp;RIGHT(C81,3)&amp;"02"</f>
        <v>R_ES-WH-FL_OIL02</v>
      </c>
      <c r="C81" t="s">
        <v>80</v>
      </c>
      <c r="D81" t="str">
        <f>$AF$7</f>
        <v>R_ES-FL-WatHeat</v>
      </c>
      <c r="E81">
        <f>Q81</f>
        <v>2011</v>
      </c>
      <c r="F81">
        <v>1</v>
      </c>
      <c r="G81" s="18">
        <f>'Generalized Data'!$C$4</f>
        <v>31.536000000000001</v>
      </c>
      <c r="H81" s="4">
        <f>'Generalized Data'!C72</f>
        <v>41.62</v>
      </c>
      <c r="I81" s="4">
        <f>'Generalized Data'!E72</f>
        <v>2081</v>
      </c>
      <c r="J81" s="4">
        <f>'Generalized Data'!G72</f>
        <v>1</v>
      </c>
      <c r="K81" s="4"/>
      <c r="L81" s="4"/>
      <c r="M81" s="4">
        <f>'Generalized Data'!J72</f>
        <v>0.5</v>
      </c>
      <c r="N81" s="4"/>
      <c r="O81" s="3"/>
      <c r="P81" s="2">
        <f>'Generalized Data'!M72</f>
        <v>15</v>
      </c>
      <c r="Q81" s="91">
        <v>2011</v>
      </c>
    </row>
    <row r="82" spans="1:23" x14ac:dyDescent="0.2">
      <c r="C82" t="s">
        <v>86</v>
      </c>
      <c r="E82">
        <v>2020</v>
      </c>
      <c r="G82" s="18"/>
      <c r="H82" s="4"/>
      <c r="I82" s="4">
        <f>'Generalized Data'!K72</f>
        <v>733</v>
      </c>
      <c r="J82" s="4"/>
      <c r="K82" s="3"/>
      <c r="L82" s="3"/>
      <c r="M82" s="3"/>
      <c r="N82" s="3"/>
      <c r="O82" s="3"/>
      <c r="P82" s="2"/>
    </row>
    <row r="83" spans="1:23" x14ac:dyDescent="0.2">
      <c r="B83" t="str">
        <f>"R_ES-WH-FL_"&amp;RIGHT(C83,3)&amp;"02"</f>
        <v>R_ES-WH-FL_GAS02</v>
      </c>
      <c r="C83" t="s">
        <v>83</v>
      </c>
      <c r="D83" t="str">
        <f>$AF$7</f>
        <v>R_ES-FL-WatHeat</v>
      </c>
      <c r="E83">
        <f>Q83</f>
        <v>2011</v>
      </c>
      <c r="F83">
        <v>1</v>
      </c>
      <c r="G83" s="18">
        <f>'Generalized Data'!$C$4</f>
        <v>31.536000000000001</v>
      </c>
      <c r="H83" s="4">
        <f>'Generalized Data'!C73</f>
        <v>41.62</v>
      </c>
      <c r="I83" s="4">
        <f>'Generalized Data'!E73</f>
        <v>2081</v>
      </c>
      <c r="J83" s="4">
        <f>'Generalized Data'!G73</f>
        <v>1</v>
      </c>
      <c r="K83" s="4"/>
      <c r="L83" s="4"/>
      <c r="M83" s="4">
        <f>'Generalized Data'!J73</f>
        <v>0.5</v>
      </c>
      <c r="N83" s="4"/>
      <c r="O83" s="4"/>
      <c r="P83" s="2">
        <f>'Generalized Data'!M73</f>
        <v>15</v>
      </c>
      <c r="Q83" s="91">
        <v>2011</v>
      </c>
    </row>
    <row r="84" spans="1:23" x14ac:dyDescent="0.2">
      <c r="C84" t="s">
        <v>86</v>
      </c>
      <c r="E84">
        <v>2020</v>
      </c>
      <c r="G84" s="18"/>
      <c r="H84" s="4"/>
      <c r="I84" s="4">
        <f>'Generalized Data'!K73</f>
        <v>834</v>
      </c>
      <c r="J84" s="4"/>
      <c r="K84" s="3"/>
      <c r="L84" s="3"/>
      <c r="M84" s="3"/>
      <c r="N84" s="3"/>
      <c r="O84" s="3"/>
      <c r="P84" s="2"/>
    </row>
    <row r="85" spans="1:23" x14ac:dyDescent="0.2">
      <c r="G85" s="18"/>
      <c r="H85" s="4"/>
      <c r="I85" s="4"/>
      <c r="J85" s="4"/>
      <c r="K85" s="3"/>
      <c r="L85" s="3"/>
      <c r="M85" s="3"/>
      <c r="N85" s="3"/>
      <c r="O85" s="3"/>
      <c r="P85" s="2"/>
    </row>
    <row r="86" spans="1:23" x14ac:dyDescent="0.2">
      <c r="G86" s="18"/>
      <c r="H86" s="4"/>
      <c r="I86" s="4"/>
      <c r="J86" s="4"/>
      <c r="K86" s="3"/>
      <c r="L86" s="3"/>
      <c r="M86" s="3"/>
      <c r="N86" s="3"/>
      <c r="O86" s="3"/>
      <c r="P86" s="2"/>
    </row>
    <row r="87" spans="1:23" x14ac:dyDescent="0.2">
      <c r="G87" s="18"/>
      <c r="H87" s="4"/>
      <c r="I87" s="4"/>
      <c r="J87" s="4"/>
      <c r="K87" s="3"/>
      <c r="L87" s="3"/>
      <c r="M87" s="3"/>
      <c r="N87" s="3"/>
      <c r="O87" s="3"/>
      <c r="P87" s="2"/>
    </row>
    <row r="88" spans="1:23" x14ac:dyDescent="0.2">
      <c r="A88" s="6" t="s">
        <v>279</v>
      </c>
      <c r="G88" t="s">
        <v>230</v>
      </c>
    </row>
    <row r="89" spans="1:23" x14ac:dyDescent="0.2">
      <c r="A89" s="6" t="s">
        <v>437</v>
      </c>
    </row>
    <row r="90" spans="1:23" x14ac:dyDescent="0.2">
      <c r="B90" s="1"/>
      <c r="E90" s="1" t="s">
        <v>15</v>
      </c>
      <c r="G90" s="2"/>
      <c r="H90" s="5"/>
      <c r="I90" s="4"/>
      <c r="J90" s="3"/>
      <c r="K90" s="3"/>
      <c r="L90" s="3"/>
    </row>
    <row r="91" spans="1:23" ht="39" thickBot="1" x14ac:dyDescent="0.25">
      <c r="A91" s="7" t="s">
        <v>16</v>
      </c>
      <c r="B91" s="7" t="s">
        <v>17</v>
      </c>
      <c r="C91" s="8" t="s">
        <v>19</v>
      </c>
      <c r="D91" s="8" t="s">
        <v>20</v>
      </c>
      <c r="E91" s="8" t="s">
        <v>21</v>
      </c>
      <c r="F91" s="9" t="s">
        <v>463</v>
      </c>
      <c r="G91" s="10" t="s">
        <v>23</v>
      </c>
      <c r="H91" s="12" t="s">
        <v>24</v>
      </c>
      <c r="I91" s="13" t="s">
        <v>25</v>
      </c>
      <c r="J91" s="11" t="s">
        <v>258</v>
      </c>
      <c r="K91" s="9" t="str">
        <f>CONCATENATE("CEFF~",AF7)</f>
        <v>CEFF~R_ES-FL-WatHeat</v>
      </c>
      <c r="L91" s="9" t="str">
        <f>CONCATENATE("CEFF~",AF8)</f>
        <v>CEFF~R_ES-FL-SpCool</v>
      </c>
      <c r="M91" s="10" t="s">
        <v>78</v>
      </c>
      <c r="N91" s="10" t="s">
        <v>77</v>
      </c>
      <c r="O91" s="10" t="s">
        <v>276</v>
      </c>
      <c r="P91" s="10" t="s">
        <v>26</v>
      </c>
      <c r="Q91" s="10" t="s">
        <v>29</v>
      </c>
      <c r="R91" s="10"/>
      <c r="S91" s="10"/>
      <c r="T91" s="10"/>
      <c r="U91" s="10"/>
      <c r="V91" s="10"/>
      <c r="W91" s="10"/>
    </row>
    <row r="92" spans="1:23" x14ac:dyDescent="0.2">
      <c r="B92" t="str">
        <f>"R_ES-SC-FL_"&amp;RIGHT(C92,3)&amp;"01"</f>
        <v>R_ES-SC-FL_ELC01</v>
      </c>
      <c r="C92" t="s">
        <v>81</v>
      </c>
      <c r="D92" t="str">
        <f>$AF$8</f>
        <v>R_ES-FL-SpCool</v>
      </c>
      <c r="E92">
        <f>Q92</f>
        <v>2011</v>
      </c>
      <c r="F92">
        <v>1</v>
      </c>
      <c r="G92" s="18">
        <f>'Generalized Data'!$C$3</f>
        <v>6.3071999999999999</v>
      </c>
      <c r="H92" s="4">
        <f>'Generalized Data'!C76</f>
        <v>24.05</v>
      </c>
      <c r="I92" s="4">
        <f>'Generalized Data'!E76</f>
        <v>481</v>
      </c>
      <c r="J92" s="4">
        <f>'Generalized Data'!G76</f>
        <v>2.0249999999999999</v>
      </c>
      <c r="K92" s="4"/>
      <c r="L92" s="4"/>
      <c r="M92" s="4"/>
      <c r="N92" s="4"/>
      <c r="O92" s="4"/>
      <c r="P92" s="2">
        <f>'Generalized Data'!M76</f>
        <v>10</v>
      </c>
      <c r="Q92" s="91">
        <v>2011</v>
      </c>
    </row>
    <row r="93" spans="1:23" x14ac:dyDescent="0.2">
      <c r="B93" t="str">
        <f>"R_ES-SC-FL_"&amp;RIGHT(C93,3)&amp;"02"</f>
        <v>R_ES-SC-FL_ELC02</v>
      </c>
      <c r="C93" t="s">
        <v>81</v>
      </c>
      <c r="D93" t="str">
        <f t="shared" ref="D93:D99" si="2">$AF$8</f>
        <v>R_ES-FL-SpCool</v>
      </c>
      <c r="E93">
        <f t="shared" ref="E93:E99" si="3">Q93</f>
        <v>2011</v>
      </c>
      <c r="F93">
        <v>1</v>
      </c>
      <c r="G93" s="18">
        <f>'Generalized Data'!$C$3</f>
        <v>6.3071999999999999</v>
      </c>
      <c r="H93" s="4">
        <f>'Generalized Data'!C77</f>
        <v>7.5994827479999998</v>
      </c>
      <c r="I93" s="4">
        <f>'Generalized Data'!E77</f>
        <v>151.98965496</v>
      </c>
      <c r="J93" s="4">
        <f>'Generalized Data'!G77</f>
        <v>0.4</v>
      </c>
      <c r="K93" s="4"/>
      <c r="L93" s="4"/>
      <c r="M93" s="4"/>
      <c r="N93" s="4"/>
      <c r="O93" s="4"/>
      <c r="P93" s="2">
        <f>'Generalized Data'!M77</f>
        <v>10</v>
      </c>
      <c r="Q93" s="91">
        <v>2011</v>
      </c>
    </row>
    <row r="94" spans="1:23" x14ac:dyDescent="0.2">
      <c r="B94" t="str">
        <f>"R_ES-SC-FL_"&amp;RIGHT(C94,3)&amp;"03"</f>
        <v>R_ES-SC-FL_ELC03</v>
      </c>
      <c r="C94" t="s">
        <v>81</v>
      </c>
      <c r="D94" t="str">
        <f t="shared" si="2"/>
        <v>R_ES-FL-SpCool</v>
      </c>
      <c r="E94">
        <f t="shared" si="3"/>
        <v>2011</v>
      </c>
      <c r="F94">
        <v>1</v>
      </c>
      <c r="G94" s="18">
        <f>'Generalized Data'!$C$3</f>
        <v>6.3071999999999999</v>
      </c>
      <c r="H94" s="4">
        <f>'Generalized Data'!C78</f>
        <v>4.5596896488000001</v>
      </c>
      <c r="I94" s="4">
        <f>'Generalized Data'!E78</f>
        <v>91.193792975999997</v>
      </c>
      <c r="J94" s="4">
        <f>'Generalized Data'!G78</f>
        <v>3.1</v>
      </c>
      <c r="K94" s="4"/>
      <c r="L94" s="4"/>
      <c r="M94" s="4"/>
      <c r="N94" s="4"/>
      <c r="O94" s="4"/>
      <c r="P94" s="2">
        <f>'Generalized Data'!M78</f>
        <v>10</v>
      </c>
      <c r="Q94" s="91">
        <v>2011</v>
      </c>
    </row>
    <row r="95" spans="1:23" x14ac:dyDescent="0.2">
      <c r="B95" t="str">
        <f>"R_ES-SC-FL_"&amp;RIGHT(C95,3)&amp;"04"</f>
        <v>R_ES-SC-FL_ELC04</v>
      </c>
      <c r="C95" t="s">
        <v>81</v>
      </c>
      <c r="D95" t="str">
        <f t="shared" si="2"/>
        <v>R_ES-FL-SpCool</v>
      </c>
      <c r="E95">
        <f t="shared" si="3"/>
        <v>2011</v>
      </c>
      <c r="F95">
        <v>1</v>
      </c>
      <c r="G95" s="18">
        <f>'Generalized Data'!$C$4</f>
        <v>31.536000000000001</v>
      </c>
      <c r="H95" s="4">
        <f>'Generalized Data'!C79</f>
        <v>16.650000000000002</v>
      </c>
      <c r="I95" s="4">
        <f>'Generalized Data'!E79</f>
        <v>333</v>
      </c>
      <c r="J95" s="4">
        <f>'Generalized Data'!G79</f>
        <v>2.93</v>
      </c>
      <c r="K95" s="4"/>
      <c r="L95" s="4"/>
      <c r="M95" s="4"/>
      <c r="N95" s="4"/>
      <c r="O95" s="4"/>
      <c r="P95" s="2">
        <f>'Generalized Data'!M79</f>
        <v>15</v>
      </c>
      <c r="Q95" s="91">
        <v>2011</v>
      </c>
    </row>
    <row r="96" spans="1:23" x14ac:dyDescent="0.2">
      <c r="B96" t="str">
        <f>"R_ES-SC-FL_"&amp;RIGHT(C96,3)&amp;"05"</f>
        <v>R_ES-SC-FL_ELC05</v>
      </c>
      <c r="C96" t="s">
        <v>81</v>
      </c>
      <c r="D96" t="str">
        <f t="shared" si="2"/>
        <v>R_ES-FL-SpCool</v>
      </c>
      <c r="E96">
        <f t="shared" si="3"/>
        <v>2011</v>
      </c>
      <c r="F96">
        <v>1</v>
      </c>
      <c r="G96" s="18">
        <f>'Generalized Data'!$C$4</f>
        <v>31.536000000000001</v>
      </c>
      <c r="H96" s="4">
        <f>'Generalized Data'!C80</f>
        <v>13.622776481599999</v>
      </c>
      <c r="I96" s="4">
        <f>'Generalized Data'!E80</f>
        <v>272.45552963199998</v>
      </c>
      <c r="J96" s="4">
        <f>'Generalized Data'!G80</f>
        <v>3.306</v>
      </c>
      <c r="K96" s="4"/>
      <c r="L96" s="4"/>
      <c r="M96" s="4"/>
      <c r="N96" s="4"/>
      <c r="O96" s="4"/>
      <c r="P96" s="2">
        <f>'Generalized Data'!M80</f>
        <v>15</v>
      </c>
      <c r="Q96" s="91">
        <v>2011</v>
      </c>
    </row>
    <row r="97" spans="2:17" x14ac:dyDescent="0.2">
      <c r="B97" t="str">
        <f>"R_ES-SC-FL_"&amp;RIGHT(C97,3)&amp;"06"</f>
        <v>R_ES-SC-FL_GAS06</v>
      </c>
      <c r="C97" t="s">
        <v>83</v>
      </c>
      <c r="D97" t="str">
        <f t="shared" si="2"/>
        <v>R_ES-FL-SpCool</v>
      </c>
      <c r="E97">
        <f t="shared" si="3"/>
        <v>2011</v>
      </c>
      <c r="F97">
        <v>1</v>
      </c>
      <c r="G97" s="18">
        <f>'Generalized Data'!$C$4</f>
        <v>31.536000000000001</v>
      </c>
      <c r="H97" s="4">
        <f>'Generalized Data'!C81</f>
        <v>97.048209315199998</v>
      </c>
      <c r="I97" s="4">
        <f>'Generalized Data'!E81</f>
        <v>1940.9641863039999</v>
      </c>
      <c r="J97" s="4">
        <f>'Generalized Data'!G81</f>
        <v>4.41</v>
      </c>
      <c r="K97" s="4"/>
      <c r="L97" s="4"/>
      <c r="M97" s="4"/>
      <c r="N97" s="4"/>
      <c r="O97" s="4"/>
      <c r="P97" s="2">
        <f>'Generalized Data'!M81</f>
        <v>15</v>
      </c>
      <c r="Q97" s="91">
        <v>2011</v>
      </c>
    </row>
    <row r="98" spans="2:17" x14ac:dyDescent="0.2">
      <c r="B98" t="str">
        <f>"R_ES-SC-FL_"&amp;RIGHT(C98,3)&amp;"07"</f>
        <v>R_ES-SC-FL_GAS07</v>
      </c>
      <c r="C98" t="s">
        <v>83</v>
      </c>
      <c r="D98" t="str">
        <f t="shared" si="2"/>
        <v>R_ES-FL-SpCool</v>
      </c>
      <c r="E98">
        <f t="shared" si="3"/>
        <v>2011</v>
      </c>
      <c r="F98">
        <v>1</v>
      </c>
      <c r="G98" s="18">
        <f>'Generalized Data'!$C$4</f>
        <v>31.536000000000001</v>
      </c>
      <c r="H98" s="4">
        <f>'Generalized Data'!C82</f>
        <v>69.127146774400003</v>
      </c>
      <c r="I98" s="4">
        <f>'Generalized Data'!E82</f>
        <v>1382.542935488</v>
      </c>
      <c r="J98" s="4">
        <f>'Generalized Data'!G82</f>
        <v>1.0349999999999999</v>
      </c>
      <c r="K98" s="4"/>
      <c r="L98" s="4"/>
      <c r="M98" s="4"/>
      <c r="N98" s="4"/>
      <c r="O98" s="4"/>
      <c r="P98" s="2">
        <f>'Generalized Data'!M82</f>
        <v>15</v>
      </c>
      <c r="Q98" s="91">
        <v>2011</v>
      </c>
    </row>
    <row r="99" spans="2:17" x14ac:dyDescent="0.2">
      <c r="B99" t="str">
        <f>"R_ES-SC-FL_"&amp;RIGHT(C99,3)&amp;"08"</f>
        <v>R_ES-SC-FL_ELC08</v>
      </c>
      <c r="C99" t="s">
        <v>81</v>
      </c>
      <c r="D99" t="str">
        <f t="shared" si="2"/>
        <v>R_ES-FL-SpCool</v>
      </c>
      <c r="E99">
        <f t="shared" si="3"/>
        <v>2011</v>
      </c>
      <c r="F99">
        <v>1</v>
      </c>
      <c r="G99" s="18">
        <f>'Generalized Data'!$C$4</f>
        <v>31.536000000000001</v>
      </c>
      <c r="H99" s="4">
        <f>'Generalized Data'!C83</f>
        <v>76.55775212799999</v>
      </c>
      <c r="I99" s="4">
        <f>'Generalized Data'!E83</f>
        <v>3827.8876063999996</v>
      </c>
      <c r="J99" s="4">
        <f>'Generalized Data'!G83</f>
        <v>0.65</v>
      </c>
      <c r="K99" s="4"/>
      <c r="L99" s="4"/>
      <c r="M99" s="4">
        <f>'Generalized Data'!Q83</f>
        <v>0.3</v>
      </c>
      <c r="P99" s="2">
        <f>'Generalized Data'!M83</f>
        <v>15</v>
      </c>
      <c r="Q99" s="91">
        <v>2011</v>
      </c>
    </row>
    <row r="100" spans="2:17" x14ac:dyDescent="0.2">
      <c r="C100" t="s">
        <v>86</v>
      </c>
      <c r="E100">
        <v>2020</v>
      </c>
      <c r="G100" s="18"/>
      <c r="H100" s="4"/>
      <c r="I100" s="4">
        <f>'Generalized Data'!K83</f>
        <v>2500</v>
      </c>
      <c r="J100" s="4">
        <f>'Generalized Data'!L83</f>
        <v>1.25</v>
      </c>
      <c r="K100" s="4"/>
      <c r="L100" s="4"/>
      <c r="M100" s="4"/>
      <c r="P100" s="2"/>
    </row>
    <row r="101" spans="2:17" x14ac:dyDescent="0.2">
      <c r="L101" s="4"/>
      <c r="M101" s="4"/>
      <c r="N101" s="4"/>
      <c r="O101" s="4"/>
      <c r="P101" s="4"/>
      <c r="Q101" s="2"/>
    </row>
    <row r="102" spans="2:17" x14ac:dyDescent="0.2">
      <c r="H102" s="18"/>
      <c r="I102" s="4"/>
      <c r="J102" s="4"/>
      <c r="K102" s="4"/>
      <c r="L102" s="4"/>
      <c r="M102" s="4"/>
      <c r="N102" s="4"/>
      <c r="O102" s="4"/>
      <c r="P102" s="4"/>
      <c r="Q102" s="2"/>
    </row>
    <row r="103" spans="2:17" x14ac:dyDescent="0.2">
      <c r="H103" s="18"/>
      <c r="I103" s="4"/>
      <c r="J103" s="4"/>
      <c r="K103" s="4"/>
      <c r="L103" s="4"/>
      <c r="M103" s="4"/>
      <c r="N103" s="4"/>
      <c r="O103" s="4"/>
      <c r="P103" s="4"/>
      <c r="Q103" s="2"/>
    </row>
    <row r="128" spans="8:19" x14ac:dyDescent="0.2">
      <c r="H128" s="18"/>
      <c r="I128" s="4"/>
      <c r="J128" s="4"/>
      <c r="K128" s="4"/>
      <c r="L128" s="4"/>
      <c r="M128" s="4"/>
      <c r="N128" s="4"/>
      <c r="O128" s="4"/>
      <c r="P128" s="4"/>
      <c r="Q128" s="2"/>
      <c r="S128" s="2"/>
    </row>
    <row r="129" spans="8:19" x14ac:dyDescent="0.2">
      <c r="H129" s="18"/>
      <c r="I129" s="4"/>
      <c r="J129" s="4"/>
      <c r="K129" s="4"/>
      <c r="L129" s="4"/>
      <c r="M129" s="4"/>
      <c r="N129" s="4"/>
      <c r="O129" s="4"/>
      <c r="P129" s="4"/>
      <c r="Q129" s="2"/>
      <c r="S129" s="2"/>
    </row>
    <row r="130" spans="8:19" x14ac:dyDescent="0.2">
      <c r="H130" s="18"/>
      <c r="I130" s="4"/>
      <c r="J130" s="4"/>
      <c r="K130" s="3"/>
      <c r="L130" s="3"/>
      <c r="M130" s="3"/>
      <c r="S130" s="2"/>
    </row>
    <row r="131" spans="8:19" x14ac:dyDescent="0.2">
      <c r="H131" s="18"/>
      <c r="I131" s="4"/>
      <c r="J131" s="4"/>
      <c r="K131" s="3"/>
      <c r="L131" s="3"/>
      <c r="M131" s="3"/>
      <c r="S131" s="2"/>
    </row>
    <row r="132" spans="8:19" x14ac:dyDescent="0.2">
      <c r="H132" s="18"/>
      <c r="I132" s="4"/>
      <c r="J132" s="4"/>
      <c r="K132" s="3"/>
      <c r="L132" s="3"/>
      <c r="M132" s="3"/>
      <c r="S132" s="2"/>
    </row>
    <row r="133" spans="8:19" x14ac:dyDescent="0.2">
      <c r="H133" s="18"/>
      <c r="I133" s="4"/>
      <c r="J133" s="4"/>
      <c r="K133" s="3"/>
      <c r="L133" s="3"/>
      <c r="M133" s="3"/>
      <c r="S133" s="2"/>
    </row>
    <row r="134" spans="8:19" x14ac:dyDescent="0.2">
      <c r="H134" s="18"/>
      <c r="I134" s="4"/>
      <c r="J134" s="4"/>
      <c r="K134" s="3"/>
      <c r="L134" s="3"/>
      <c r="M134" s="3"/>
      <c r="S134" s="2"/>
    </row>
    <row r="135" spans="8:19" x14ac:dyDescent="0.2">
      <c r="H135" s="18"/>
      <c r="I135" s="4"/>
      <c r="J135" s="4"/>
      <c r="K135" s="3"/>
      <c r="L135" s="3"/>
      <c r="M135" s="3"/>
      <c r="S135" s="2"/>
    </row>
    <row r="136" spans="8:19" x14ac:dyDescent="0.2">
      <c r="H136" s="18"/>
      <c r="I136" s="4"/>
      <c r="J136" s="4"/>
      <c r="K136" s="3"/>
      <c r="L136" s="3"/>
      <c r="M136" s="3"/>
      <c r="S136" s="2"/>
    </row>
    <row r="137" spans="8:19" x14ac:dyDescent="0.2">
      <c r="H137" s="18"/>
      <c r="I137" s="4"/>
      <c r="J137" s="4"/>
      <c r="K137" s="3"/>
      <c r="L137" s="3"/>
      <c r="M137" s="3"/>
      <c r="S137" s="2"/>
    </row>
    <row r="138" spans="8:19" x14ac:dyDescent="0.2">
      <c r="H138" s="18"/>
      <c r="I138" s="4"/>
      <c r="J138" s="4"/>
      <c r="K138" s="3"/>
      <c r="L138" s="3"/>
      <c r="M138" s="3"/>
      <c r="S138" s="2"/>
    </row>
    <row r="139" spans="8:19" x14ac:dyDescent="0.2">
      <c r="H139" s="18"/>
      <c r="I139" s="4"/>
      <c r="J139" s="4"/>
      <c r="K139" s="3"/>
      <c r="L139" s="3"/>
      <c r="M139" s="3"/>
      <c r="S139" s="2"/>
    </row>
    <row r="140" spans="8:19" x14ac:dyDescent="0.2">
      <c r="H140" s="18"/>
      <c r="I140" s="4"/>
      <c r="J140" s="4"/>
      <c r="K140" s="3"/>
      <c r="L140" s="3"/>
      <c r="M140" s="3"/>
      <c r="S140" s="2"/>
    </row>
    <row r="141" spans="8:19" x14ac:dyDescent="0.2">
      <c r="H141" s="18"/>
      <c r="I141" s="4"/>
      <c r="J141" s="4"/>
      <c r="K141" s="3"/>
      <c r="L141" s="3"/>
      <c r="M141" s="3"/>
      <c r="S141" s="2"/>
    </row>
    <row r="142" spans="8:19" x14ac:dyDescent="0.2">
      <c r="H142" s="18"/>
      <c r="I142" s="4"/>
      <c r="J142" s="4"/>
      <c r="K142" s="3"/>
      <c r="L142" s="3"/>
      <c r="M142" s="3"/>
      <c r="S142" s="2"/>
    </row>
    <row r="143" spans="8:19" x14ac:dyDescent="0.2">
      <c r="H143" s="18"/>
      <c r="I143" s="4"/>
      <c r="J143" s="4"/>
      <c r="K143" s="3"/>
      <c r="L143" s="3"/>
      <c r="M143" s="3"/>
      <c r="S143" s="2"/>
    </row>
    <row r="144" spans="8:19" x14ac:dyDescent="0.2">
      <c r="H144" s="18"/>
      <c r="I144" s="4"/>
      <c r="J144" s="4"/>
      <c r="K144" s="3"/>
      <c r="L144" s="3"/>
      <c r="M144" s="3"/>
      <c r="S144" s="2"/>
    </row>
    <row r="145" spans="8:19" x14ac:dyDescent="0.2">
      <c r="H145" s="18"/>
      <c r="I145" s="4"/>
      <c r="J145" s="4"/>
      <c r="K145" s="3"/>
      <c r="L145" s="3"/>
      <c r="M145" s="3"/>
      <c r="S145" s="2"/>
    </row>
    <row r="146" spans="8:19" x14ac:dyDescent="0.2">
      <c r="H146" s="18"/>
      <c r="I146" s="4"/>
      <c r="J146" s="4"/>
      <c r="K146" s="3"/>
      <c r="L146" s="3"/>
      <c r="M146" s="3"/>
      <c r="S146" s="2"/>
    </row>
    <row r="147" spans="8:19" x14ac:dyDescent="0.2">
      <c r="H147" s="18"/>
      <c r="I147" s="4"/>
      <c r="J147" s="4"/>
      <c r="K147" s="3"/>
      <c r="L147" s="3"/>
      <c r="M147" s="3"/>
      <c r="S147" s="2"/>
    </row>
    <row r="148" spans="8:19" x14ac:dyDescent="0.2">
      <c r="H148" s="18"/>
      <c r="I148" s="4"/>
      <c r="J148" s="4"/>
      <c r="K148" s="3"/>
      <c r="L148" s="3"/>
      <c r="M148" s="3"/>
      <c r="S148" s="2"/>
    </row>
    <row r="149" spans="8:19" x14ac:dyDescent="0.2">
      <c r="H149" s="18"/>
      <c r="I149" s="4"/>
      <c r="J149" s="4"/>
      <c r="K149" s="3"/>
      <c r="L149" s="3"/>
      <c r="M149" s="3"/>
      <c r="S149" s="2"/>
    </row>
    <row r="150" spans="8:19" x14ac:dyDescent="0.2">
      <c r="H150" s="18"/>
      <c r="I150" s="4"/>
      <c r="J150" s="4"/>
      <c r="K150" s="3"/>
      <c r="L150" s="3"/>
      <c r="M150" s="3"/>
      <c r="S150" s="2"/>
    </row>
    <row r="151" spans="8:19" x14ac:dyDescent="0.2">
      <c r="H151" s="18"/>
      <c r="I151" s="4"/>
      <c r="J151" s="4"/>
      <c r="K151" s="3"/>
      <c r="L151" s="3"/>
      <c r="M151" s="3"/>
      <c r="S151" s="2"/>
    </row>
    <row r="152" spans="8:19" x14ac:dyDescent="0.2">
      <c r="H152" s="18"/>
      <c r="I152" s="4"/>
      <c r="J152" s="4"/>
      <c r="K152" s="3"/>
      <c r="L152" s="3"/>
      <c r="M152" s="3"/>
      <c r="S152" s="2"/>
    </row>
    <row r="153" spans="8:19" x14ac:dyDescent="0.2">
      <c r="H153" s="18"/>
      <c r="I153" s="4"/>
      <c r="J153" s="4"/>
      <c r="K153" s="3"/>
      <c r="L153" s="3"/>
      <c r="M153" s="3"/>
      <c r="S153" s="2"/>
    </row>
    <row r="154" spans="8:19" x14ac:dyDescent="0.2">
      <c r="H154" s="18"/>
      <c r="I154" s="4"/>
      <c r="J154" s="4"/>
      <c r="K154" s="3"/>
      <c r="L154" s="3"/>
      <c r="M154" s="3"/>
      <c r="S154" s="2"/>
    </row>
    <row r="155" spans="8:19" x14ac:dyDescent="0.2">
      <c r="H155" s="18"/>
      <c r="I155" s="4"/>
      <c r="J155" s="4"/>
      <c r="K155" s="3"/>
      <c r="L155" s="3"/>
      <c r="M155" s="3"/>
      <c r="S155" s="2"/>
    </row>
    <row r="156" spans="8:19" x14ac:dyDescent="0.2">
      <c r="H156" s="18"/>
      <c r="I156" s="4"/>
      <c r="J156" s="4"/>
      <c r="K156" s="3"/>
      <c r="L156" s="3"/>
      <c r="M156" s="3"/>
      <c r="S156" s="2"/>
    </row>
    <row r="157" spans="8:19" x14ac:dyDescent="0.2">
      <c r="H157" s="18"/>
      <c r="I157" s="4"/>
      <c r="J157" s="4"/>
      <c r="K157" s="3"/>
      <c r="L157" s="3"/>
      <c r="M157" s="3"/>
      <c r="S157" s="2"/>
    </row>
    <row r="158" spans="8:19" x14ac:dyDescent="0.2">
      <c r="H158" s="18"/>
      <c r="I158" s="4"/>
      <c r="J158" s="4"/>
      <c r="K158" s="3"/>
      <c r="L158" s="3"/>
      <c r="M158" s="3"/>
      <c r="S158" s="2"/>
    </row>
    <row r="159" spans="8:19" x14ac:dyDescent="0.2">
      <c r="H159" s="18"/>
      <c r="I159" s="4"/>
      <c r="J159" s="4"/>
      <c r="K159" s="3"/>
      <c r="L159" s="3"/>
      <c r="M159" s="3"/>
      <c r="S159" s="2"/>
    </row>
    <row r="160" spans="8:19" x14ac:dyDescent="0.2">
      <c r="H160" s="18"/>
      <c r="I160" s="4"/>
      <c r="J160" s="4"/>
      <c r="K160" s="3"/>
      <c r="L160" s="3"/>
      <c r="M160" s="3"/>
      <c r="S160" s="2"/>
    </row>
    <row r="161" spans="8:19" x14ac:dyDescent="0.2">
      <c r="H161" s="18"/>
      <c r="I161" s="4"/>
      <c r="J161" s="4"/>
      <c r="K161" s="3"/>
      <c r="L161" s="3"/>
      <c r="M161" s="3"/>
      <c r="S161" s="2"/>
    </row>
    <row r="162" spans="8:19" x14ac:dyDescent="0.2">
      <c r="H162" s="18"/>
      <c r="I162" s="4"/>
      <c r="J162" s="4"/>
      <c r="K162" s="3"/>
      <c r="L162" s="3"/>
      <c r="M162" s="3"/>
      <c r="S162" s="2"/>
    </row>
    <row r="163" spans="8:19" x14ac:dyDescent="0.2">
      <c r="H163" s="18"/>
      <c r="I163" s="4"/>
      <c r="J163" s="4"/>
      <c r="K163" s="3"/>
      <c r="L163" s="3"/>
      <c r="M163" s="3"/>
      <c r="S163" s="2"/>
    </row>
    <row r="164" spans="8:19" x14ac:dyDescent="0.2">
      <c r="H164" s="18"/>
      <c r="I164" s="4"/>
      <c r="J164" s="4"/>
      <c r="K164" s="3"/>
      <c r="L164" s="3"/>
      <c r="M164" s="3"/>
      <c r="S164" s="2"/>
    </row>
    <row r="165" spans="8:19" x14ac:dyDescent="0.2">
      <c r="H165" s="18"/>
      <c r="I165" s="4"/>
      <c r="J165" s="4"/>
      <c r="K165" s="3"/>
      <c r="L165" s="3"/>
      <c r="M165" s="3"/>
      <c r="S165" s="2"/>
    </row>
    <row r="166" spans="8:19" x14ac:dyDescent="0.2">
      <c r="H166" s="18"/>
      <c r="I166" s="4"/>
      <c r="J166" s="4"/>
      <c r="K166" s="3"/>
      <c r="L166" s="3"/>
      <c r="M166" s="3"/>
      <c r="S166" s="2"/>
    </row>
    <row r="167" spans="8:19" x14ac:dyDescent="0.2">
      <c r="H167" s="18"/>
      <c r="I167" s="4"/>
      <c r="J167" s="4"/>
      <c r="K167" s="3"/>
      <c r="L167" s="3"/>
      <c r="M167" s="3"/>
      <c r="S167" s="2"/>
    </row>
    <row r="168" spans="8:19" x14ac:dyDescent="0.2">
      <c r="H168" s="18"/>
      <c r="I168" s="4"/>
      <c r="J168" s="4"/>
      <c r="K168" s="3"/>
      <c r="L168" s="3"/>
      <c r="M168" s="3"/>
      <c r="S168" s="2"/>
    </row>
    <row r="169" spans="8:19" x14ac:dyDescent="0.2">
      <c r="H169" s="18"/>
      <c r="I169" s="4"/>
      <c r="J169" s="4"/>
      <c r="K169" s="3"/>
      <c r="L169" s="3"/>
      <c r="M169" s="3"/>
      <c r="S169" s="2"/>
    </row>
    <row r="170" spans="8:19" x14ac:dyDescent="0.2">
      <c r="H170" s="18"/>
      <c r="I170" s="4"/>
      <c r="J170" s="4"/>
      <c r="K170" s="3"/>
      <c r="L170" s="3"/>
      <c r="M170" s="3"/>
      <c r="S170" s="2"/>
    </row>
    <row r="171" spans="8:19" x14ac:dyDescent="0.2">
      <c r="H171" s="18"/>
      <c r="I171" s="4"/>
      <c r="J171" s="4"/>
      <c r="K171" s="3"/>
      <c r="L171" s="3"/>
      <c r="M171" s="3"/>
      <c r="S171" s="2"/>
    </row>
    <row r="172" spans="8:19" x14ac:dyDescent="0.2">
      <c r="H172" s="18"/>
      <c r="I172" s="4"/>
      <c r="J172" s="4"/>
      <c r="K172" s="3"/>
      <c r="L172" s="3"/>
      <c r="M172" s="3"/>
      <c r="S172" s="2"/>
    </row>
    <row r="173" spans="8:19" x14ac:dyDescent="0.2">
      <c r="H173" s="18"/>
      <c r="I173" s="4"/>
      <c r="J173" s="4"/>
      <c r="K173" s="3"/>
      <c r="L173" s="3"/>
      <c r="M173" s="3"/>
      <c r="S173" s="2"/>
    </row>
    <row r="174" spans="8:19" x14ac:dyDescent="0.2">
      <c r="H174" s="18"/>
      <c r="I174" s="4"/>
      <c r="J174" s="4"/>
      <c r="K174" s="3"/>
      <c r="L174" s="3"/>
      <c r="M174" s="3"/>
      <c r="S174" s="2"/>
    </row>
    <row r="175" spans="8:19" x14ac:dyDescent="0.2">
      <c r="H175" s="18"/>
      <c r="I175" s="4"/>
      <c r="J175" s="4"/>
      <c r="K175" s="3"/>
      <c r="L175" s="3"/>
      <c r="M175" s="3"/>
      <c r="S175" s="2"/>
    </row>
    <row r="176" spans="8:19" x14ac:dyDescent="0.2">
      <c r="H176" s="18"/>
      <c r="I176" s="4"/>
      <c r="J176" s="4"/>
      <c r="K176" s="3"/>
      <c r="L176" s="3"/>
      <c r="M176" s="3"/>
      <c r="S176" s="2"/>
    </row>
    <row r="177" spans="8:19" x14ac:dyDescent="0.2">
      <c r="H177" s="18"/>
      <c r="I177" s="4"/>
      <c r="J177" s="4"/>
      <c r="K177" s="3"/>
      <c r="L177" s="3"/>
      <c r="M177" s="3"/>
      <c r="S177" s="2"/>
    </row>
    <row r="178" spans="8:19" x14ac:dyDescent="0.2">
      <c r="H178" s="18"/>
      <c r="I178" s="4"/>
      <c r="J178" s="4"/>
      <c r="K178" s="3"/>
      <c r="L178" s="3"/>
      <c r="M178" s="3"/>
      <c r="S178" s="2"/>
    </row>
    <row r="179" spans="8:19" x14ac:dyDescent="0.2">
      <c r="H179" s="18"/>
      <c r="I179" s="4"/>
      <c r="J179" s="4"/>
      <c r="K179" s="3"/>
      <c r="L179" s="3"/>
      <c r="M179" s="3"/>
      <c r="S179" s="2"/>
    </row>
    <row r="180" spans="8:19" x14ac:dyDescent="0.2">
      <c r="H180" s="18"/>
      <c r="I180" s="4"/>
      <c r="J180" s="4"/>
      <c r="K180" s="3"/>
      <c r="L180" s="3"/>
      <c r="M180" s="3"/>
      <c r="S180" s="2"/>
    </row>
    <row r="181" spans="8:19" x14ac:dyDescent="0.2">
      <c r="H181" s="18"/>
      <c r="I181" s="4"/>
      <c r="J181" s="4"/>
      <c r="K181" s="3"/>
      <c r="L181" s="3"/>
      <c r="M181" s="3"/>
      <c r="S181" s="2"/>
    </row>
    <row r="182" spans="8:19" x14ac:dyDescent="0.2">
      <c r="H182" s="18"/>
      <c r="I182" s="4"/>
      <c r="J182" s="4"/>
      <c r="K182" s="3"/>
      <c r="L182" s="3"/>
      <c r="M182" s="3"/>
      <c r="S182" s="2"/>
    </row>
    <row r="183" spans="8:19" x14ac:dyDescent="0.2">
      <c r="H183" s="18"/>
      <c r="I183" s="4"/>
      <c r="J183" s="4"/>
      <c r="K183" s="3"/>
      <c r="L183" s="3"/>
      <c r="M183" s="3"/>
      <c r="S183" s="2"/>
    </row>
    <row r="184" spans="8:19" x14ac:dyDescent="0.2">
      <c r="H184" s="18"/>
      <c r="I184" s="4"/>
      <c r="J184" s="4"/>
      <c r="K184" s="3"/>
      <c r="L184" s="3"/>
      <c r="M184" s="3"/>
      <c r="S184" s="2"/>
    </row>
    <row r="185" spans="8:19" x14ac:dyDescent="0.2">
      <c r="H185" s="18"/>
      <c r="I185" s="4"/>
      <c r="J185" s="4"/>
      <c r="K185" s="3"/>
      <c r="L185" s="3"/>
      <c r="M185" s="3"/>
      <c r="S185" s="2"/>
    </row>
    <row r="186" spans="8:19" x14ac:dyDescent="0.2">
      <c r="H186" s="18"/>
      <c r="I186" s="4"/>
      <c r="J186" s="4"/>
      <c r="K186" s="3"/>
      <c r="L186" s="3"/>
      <c r="M186" s="3"/>
      <c r="S186" s="2"/>
    </row>
    <row r="187" spans="8:19" x14ac:dyDescent="0.2">
      <c r="H187" s="18"/>
      <c r="I187" s="4"/>
      <c r="J187" s="4"/>
      <c r="K187" s="3"/>
      <c r="L187" s="3"/>
      <c r="M187" s="3"/>
      <c r="S187" s="2"/>
    </row>
    <row r="188" spans="8:19" x14ac:dyDescent="0.2">
      <c r="H188" s="18"/>
      <c r="I188" s="4"/>
      <c r="J188" s="4"/>
      <c r="K188" s="3"/>
      <c r="L188" s="3"/>
      <c r="M188" s="3"/>
      <c r="S188" s="2"/>
    </row>
    <row r="189" spans="8:19" x14ac:dyDescent="0.2">
      <c r="H189" s="18"/>
      <c r="I189" s="4"/>
      <c r="J189" s="4"/>
      <c r="K189" s="3"/>
      <c r="L189" s="3"/>
      <c r="M189" s="3"/>
      <c r="S189" s="2"/>
    </row>
    <row r="190" spans="8:19" x14ac:dyDescent="0.2">
      <c r="H190" s="18"/>
      <c r="I190" s="4"/>
      <c r="J190" s="4"/>
      <c r="K190" s="3"/>
      <c r="L190" s="3"/>
      <c r="M190" s="3"/>
      <c r="S190" s="2"/>
    </row>
    <row r="191" spans="8:19" x14ac:dyDescent="0.2">
      <c r="H191" s="18"/>
      <c r="I191" s="4"/>
      <c r="J191" s="4"/>
      <c r="K191" s="3"/>
      <c r="L191" s="3"/>
      <c r="M191" s="3"/>
      <c r="S191" s="2"/>
    </row>
    <row r="192" spans="8:19" x14ac:dyDescent="0.2">
      <c r="H192" s="18"/>
      <c r="I192" s="4"/>
      <c r="J192" s="4"/>
      <c r="K192" s="3"/>
      <c r="L192" s="3"/>
      <c r="M192" s="3"/>
      <c r="S192" s="2"/>
    </row>
    <row r="193" spans="8:19" x14ac:dyDescent="0.2">
      <c r="H193" s="18"/>
      <c r="I193" s="4"/>
      <c r="J193" s="4"/>
      <c r="K193" s="3"/>
      <c r="L193" s="3"/>
      <c r="M193" s="3"/>
      <c r="S193" s="2"/>
    </row>
    <row r="194" spans="8:19" x14ac:dyDescent="0.2">
      <c r="H194" s="18"/>
      <c r="I194" s="4"/>
      <c r="J194" s="4"/>
      <c r="K194" s="3"/>
      <c r="L194" s="3"/>
      <c r="M194" s="3"/>
      <c r="S194" s="2"/>
    </row>
    <row r="195" spans="8:19" x14ac:dyDescent="0.2">
      <c r="H195" s="18"/>
      <c r="I195" s="4"/>
      <c r="J195" s="4"/>
      <c r="K195" s="3"/>
      <c r="L195" s="3"/>
      <c r="M195" s="3"/>
      <c r="S195" s="2"/>
    </row>
    <row r="196" spans="8:19" x14ac:dyDescent="0.2">
      <c r="H196" s="18"/>
      <c r="I196" s="4"/>
      <c r="J196" s="4"/>
      <c r="K196" s="3"/>
      <c r="L196" s="3"/>
      <c r="M196" s="3"/>
      <c r="S196" s="2"/>
    </row>
    <row r="197" spans="8:19" x14ac:dyDescent="0.2">
      <c r="H197" s="18"/>
      <c r="I197" s="4"/>
      <c r="J197" s="4"/>
      <c r="K197" s="3"/>
      <c r="L197" s="3"/>
      <c r="M197" s="3"/>
      <c r="S197" s="2"/>
    </row>
    <row r="198" spans="8:19" x14ac:dyDescent="0.2">
      <c r="H198" s="18"/>
      <c r="I198" s="4"/>
      <c r="J198" s="4"/>
      <c r="K198" s="3"/>
      <c r="L198" s="3"/>
      <c r="M198" s="3"/>
      <c r="S198" s="2"/>
    </row>
    <row r="199" spans="8:19" x14ac:dyDescent="0.2">
      <c r="H199" s="18"/>
      <c r="I199" s="4"/>
      <c r="J199" s="4"/>
      <c r="K199" s="3"/>
      <c r="L199" s="3"/>
      <c r="M199" s="3"/>
      <c r="S199" s="2"/>
    </row>
    <row r="200" spans="8:19" x14ac:dyDescent="0.2">
      <c r="H200" s="18"/>
      <c r="I200" s="4"/>
      <c r="J200" s="4"/>
      <c r="K200" s="3"/>
      <c r="L200" s="3"/>
      <c r="M200" s="3"/>
      <c r="S200" s="2"/>
    </row>
    <row r="201" spans="8:19" x14ac:dyDescent="0.2">
      <c r="H201" s="18"/>
      <c r="I201" s="4"/>
      <c r="J201" s="4"/>
      <c r="K201" s="3"/>
      <c r="L201" s="3"/>
      <c r="M201" s="3"/>
      <c r="S201" s="2"/>
    </row>
    <row r="202" spans="8:19" x14ac:dyDescent="0.2">
      <c r="H202" s="18"/>
      <c r="I202" s="4"/>
      <c r="J202" s="4"/>
      <c r="K202" s="3"/>
      <c r="L202" s="3"/>
      <c r="M202" s="3"/>
      <c r="S202" s="2"/>
    </row>
    <row r="203" spans="8:19" x14ac:dyDescent="0.2">
      <c r="H203" s="18"/>
      <c r="I203" s="4"/>
      <c r="J203" s="4"/>
      <c r="K203" s="3"/>
      <c r="L203" s="3"/>
      <c r="M203" s="3"/>
      <c r="S203" s="2"/>
    </row>
    <row r="204" spans="8:19" x14ac:dyDescent="0.2">
      <c r="H204" s="18"/>
      <c r="I204" s="4"/>
      <c r="J204" s="4"/>
      <c r="K204" s="3"/>
      <c r="L204" s="3"/>
      <c r="M204" s="3"/>
      <c r="S204" s="2"/>
    </row>
    <row r="205" spans="8:19" x14ac:dyDescent="0.2">
      <c r="H205" s="18"/>
      <c r="I205" s="4"/>
      <c r="J205" s="4"/>
      <c r="K205" s="3"/>
      <c r="L205" s="3"/>
      <c r="M205" s="3"/>
      <c r="S205" s="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A1:AF205"/>
  <sheetViews>
    <sheetView topLeftCell="A70" zoomScale="80" zoomScaleNormal="80" workbookViewId="0">
      <selection activeCell="I13" sqref="I13"/>
    </sheetView>
  </sheetViews>
  <sheetFormatPr defaultRowHeight="12.75" x14ac:dyDescent="0.2"/>
  <cols>
    <col min="2" max="2" width="16.28515625" customWidth="1"/>
  </cols>
  <sheetData>
    <row r="1" spans="1:32" x14ac:dyDescent="0.2">
      <c r="H1" s="18"/>
      <c r="I1" s="4"/>
      <c r="J1" s="4"/>
      <c r="K1" s="3"/>
      <c r="L1" s="3"/>
      <c r="M1" s="3"/>
      <c r="N1" s="4"/>
      <c r="O1" s="4"/>
      <c r="P1" s="4"/>
      <c r="Q1" s="2"/>
    </row>
    <row r="2" spans="1:32" x14ac:dyDescent="0.2">
      <c r="A2" s="6" t="s">
        <v>277</v>
      </c>
      <c r="H2" t="s">
        <v>230</v>
      </c>
    </row>
    <row r="3" spans="1:32" x14ac:dyDescent="0.2">
      <c r="A3" s="6" t="s">
        <v>438</v>
      </c>
    </row>
    <row r="4" spans="1:32" x14ac:dyDescent="0.2">
      <c r="B4" s="1"/>
      <c r="F4" s="294" t="s">
        <v>798</v>
      </c>
      <c r="H4" s="2"/>
      <c r="I4" s="5"/>
      <c r="J4" s="4"/>
      <c r="K4" s="3"/>
      <c r="L4" s="3"/>
      <c r="M4" s="3"/>
    </row>
    <row r="5" spans="1:32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CONCATENATE("CEFF~",AF7)</f>
        <v>CEFF~R_ES-SD-WatHeat</v>
      </c>
      <c r="O5" s="10" t="s">
        <v>78</v>
      </c>
      <c r="P5" s="10" t="s">
        <v>26</v>
      </c>
      <c r="Q5" s="10" t="s">
        <v>29</v>
      </c>
      <c r="R5" s="9" t="str">
        <f>CONCATENATE("CEFF~",AF8)</f>
        <v>CEFF~R_ES-SD-SpCool</v>
      </c>
      <c r="S5" s="9" t="str">
        <f>CONCATENATE("CEFF~",AF6)</f>
        <v>CEFF~R_ES-SD-SpHeat</v>
      </c>
      <c r="T5" s="9" t="str">
        <f>CONCATENATE("CEFF~",AF6,"~W")</f>
        <v>CEFF~R_ES-SD-SpHeat~W</v>
      </c>
      <c r="U5" s="9" t="str">
        <f>CONCATENATE("CEFF~",AF6,"~R")</f>
        <v>CEFF~R_ES-SD-SpHeat~R</v>
      </c>
      <c r="V5" s="9" t="str">
        <f>CONCATENATE("CEFF~",AF6,"~S")</f>
        <v>CEFF~R_ES-SD-SpHeat~S</v>
      </c>
      <c r="W5" s="9" t="str">
        <f>CONCATENATE("CEFF~",AF6,"~F")</f>
        <v>CEFF~R_ES-SD-SpHeat~F</v>
      </c>
      <c r="X5" s="9" t="str">
        <f>CONCATENATE("AFC~",AF6)</f>
        <v>AFC~R_ES-SD-SpHeat</v>
      </c>
      <c r="Y5" s="9" t="str">
        <f>CONCATENATE("AFC~",AF8)</f>
        <v>AFC~R_ES-SD-SpCool</v>
      </c>
      <c r="Z5" s="9" t="str">
        <f>CONCATENATE("Share-O~LO~",AF6)</f>
        <v>Share-O~LO~R_ES-SD-SpHeat</v>
      </c>
      <c r="AA5" s="12" t="s">
        <v>386</v>
      </c>
      <c r="AB5" s="13" t="s">
        <v>387</v>
      </c>
    </row>
    <row r="6" spans="1:32" x14ac:dyDescent="0.2">
      <c r="B6" t="str">
        <f>"R_ES-SH-SD_"&amp;RIGHT(C6,3)&amp;"01"</f>
        <v>R_ES-SH-SD_BIO01</v>
      </c>
      <c r="C6" t="s">
        <v>79</v>
      </c>
      <c r="D6" t="str">
        <f>$AF$6</f>
        <v>R_ES-SD-SpHeat</v>
      </c>
      <c r="F6">
        <f>Q6</f>
        <v>2011</v>
      </c>
      <c r="G6">
        <v>1</v>
      </c>
      <c r="H6" s="18">
        <f>'Generalized Data'!$C$3</f>
        <v>6.3071999999999999</v>
      </c>
      <c r="I6" s="4">
        <f>'Generalized Data'!C31</f>
        <v>0</v>
      </c>
      <c r="K6" s="4">
        <f>'Generalized Data'!E31</f>
        <v>185.76513384</v>
      </c>
      <c r="M6" s="3">
        <f>'Generalized Data'!G31</f>
        <v>0.55000000000000004</v>
      </c>
      <c r="N6" s="3"/>
      <c r="O6" s="3"/>
      <c r="P6" s="2">
        <f>'Generalized Data'!M31</f>
        <v>15</v>
      </c>
      <c r="Q6" s="91">
        <v>2011</v>
      </c>
      <c r="T6" s="78"/>
      <c r="U6" s="78"/>
      <c r="V6" s="78"/>
      <c r="W6" s="78"/>
      <c r="AA6" s="87"/>
      <c r="AB6" s="87"/>
      <c r="AF6" s="30" t="s">
        <v>400</v>
      </c>
    </row>
    <row r="7" spans="1:32" x14ac:dyDescent="0.2">
      <c r="B7" t="str">
        <f>"R_ES-SH-SD_"&amp;RIGHT(C7,3)&amp;"02"</f>
        <v>R_ES-SH-SD_BIO02</v>
      </c>
      <c r="C7" t="s">
        <v>79</v>
      </c>
      <c r="D7" t="str">
        <f>$AF$6</f>
        <v>R_ES-SD-SpHeat</v>
      </c>
      <c r="F7">
        <f>Q7</f>
        <v>2011</v>
      </c>
      <c r="G7">
        <v>1</v>
      </c>
      <c r="H7" s="18">
        <f>'Generalized Data'!$C$3</f>
        <v>6.3071999999999999</v>
      </c>
      <c r="I7" s="4">
        <f>'Generalized Data'!C32</f>
        <v>0</v>
      </c>
      <c r="K7" s="4">
        <f>'Generalized Data'!E32</f>
        <v>103.57813523199999</v>
      </c>
      <c r="M7" s="3">
        <f>'Generalized Data'!G32</f>
        <v>0.61</v>
      </c>
      <c r="N7" s="3"/>
      <c r="O7" s="3"/>
      <c r="P7" s="2">
        <f>'Generalized Data'!M32</f>
        <v>15</v>
      </c>
      <c r="Q7" s="91">
        <v>2011</v>
      </c>
      <c r="T7" s="78"/>
      <c r="U7" s="78"/>
      <c r="V7" s="78"/>
      <c r="W7" s="78"/>
      <c r="AA7" s="87"/>
      <c r="AB7" s="87"/>
      <c r="AF7" s="30" t="s">
        <v>405</v>
      </c>
    </row>
    <row r="8" spans="1:32" x14ac:dyDescent="0.2">
      <c r="B8" t="str">
        <f>"R_ES-SH-SD_"&amp;RIGHT(C8,3)&amp;"01"</f>
        <v>R_ES-SH-SD_BDL01</v>
      </c>
      <c r="C8" t="s">
        <v>303</v>
      </c>
      <c r="D8" t="str">
        <f>$AF$6</f>
        <v>R_ES-SD-SpHeat</v>
      </c>
      <c r="F8">
        <f>Q8</f>
        <v>2011</v>
      </c>
      <c r="G8">
        <v>1</v>
      </c>
      <c r="H8" s="18">
        <f>'Generalized Data'!$C$4</f>
        <v>31.536000000000001</v>
      </c>
      <c r="I8" s="4">
        <f>'Generalized Data'!C33</f>
        <v>9.6260114808000008</v>
      </c>
      <c r="K8" s="4">
        <f>'Generalized Data'!E33</f>
        <v>192.52022961599999</v>
      </c>
      <c r="M8" s="3">
        <f>'Generalized Data'!G33</f>
        <v>0.91</v>
      </c>
      <c r="N8" s="3">
        <f>'Generalized Data'!H33</f>
        <v>0.4175824175824176</v>
      </c>
      <c r="O8" s="3"/>
      <c r="P8" s="2">
        <f>'Generalized Data'!M33</f>
        <v>20</v>
      </c>
      <c r="Q8" s="91">
        <v>2011</v>
      </c>
      <c r="T8" s="78"/>
      <c r="U8" s="78"/>
      <c r="V8" s="78"/>
      <c r="W8" s="78"/>
      <c r="AA8" s="87"/>
      <c r="AB8" s="87"/>
      <c r="AF8" s="30" t="s">
        <v>406</v>
      </c>
    </row>
    <row r="9" spans="1:32" x14ac:dyDescent="0.2">
      <c r="D9" t="str">
        <f>$AF$7</f>
        <v>R_ES-SD-WatHeat</v>
      </c>
      <c r="H9" s="18"/>
      <c r="I9" s="4"/>
      <c r="K9" s="4"/>
      <c r="M9" s="3"/>
      <c r="N9" s="3"/>
      <c r="O9" s="3"/>
      <c r="P9" s="2"/>
      <c r="T9" s="78"/>
      <c r="U9" s="78"/>
      <c r="V9" s="78"/>
      <c r="W9" s="78"/>
      <c r="AA9" s="87"/>
      <c r="AB9" s="87"/>
    </row>
    <row r="10" spans="1:32" x14ac:dyDescent="0.2">
      <c r="B10" t="str">
        <f>"R_ES-SH-SD_"&amp;RIGHT(C10,3)&amp;"01"</f>
        <v>R_ES-SH-SD_ELC01</v>
      </c>
      <c r="C10" t="s">
        <v>81</v>
      </c>
      <c r="D10" t="str">
        <f>$AF$6</f>
        <v>R_ES-SD-SpHeat</v>
      </c>
      <c r="F10">
        <f>Q10</f>
        <v>2011</v>
      </c>
      <c r="G10">
        <v>1</v>
      </c>
      <c r="H10" s="18">
        <f>'Generalized Data'!$C$4</f>
        <v>31.536000000000001</v>
      </c>
      <c r="I10" s="4">
        <f>'Generalized Data'!C34</f>
        <v>2.5629999999999997</v>
      </c>
      <c r="K10" s="4">
        <f>'Generalized Data'!E34</f>
        <v>233</v>
      </c>
      <c r="M10" s="3">
        <f>'Generalized Data'!G34</f>
        <v>1</v>
      </c>
      <c r="N10" s="3"/>
      <c r="O10" s="3"/>
      <c r="P10" s="2">
        <f>'Generalized Data'!M34</f>
        <v>15</v>
      </c>
      <c r="Q10" s="91">
        <v>2011</v>
      </c>
      <c r="T10" s="78"/>
      <c r="U10" s="78"/>
      <c r="V10" s="78"/>
      <c r="W10" s="78"/>
      <c r="AA10" s="87"/>
      <c r="AB10" s="87"/>
    </row>
    <row r="11" spans="1:32" x14ac:dyDescent="0.2">
      <c r="B11" t="str">
        <f>"R_ES-SH-SD_"&amp;RIGHT(C11,3)&amp;"02"</f>
        <v>R_ES-SH-SD_ELC02</v>
      </c>
      <c r="C11" t="s">
        <v>81</v>
      </c>
      <c r="D11" t="str">
        <f>$AF$6</f>
        <v>R_ES-SD-SpHeat</v>
      </c>
      <c r="F11">
        <f>Q11</f>
        <v>2011</v>
      </c>
      <c r="H11" s="18">
        <f>'Generalized Data'!$C$4</f>
        <v>31.536000000000001</v>
      </c>
      <c r="I11" s="4">
        <f>'Generalized Data'!C35</f>
        <v>16</v>
      </c>
      <c r="J11" s="4">
        <f>'Generalized Data'!D35</f>
        <v>6.46</v>
      </c>
      <c r="K11" s="20">
        <f>'Generalized Data'!E35</f>
        <v>800</v>
      </c>
      <c r="L11" s="20">
        <f>'Generalized Data'!F35</f>
        <v>646</v>
      </c>
      <c r="M11" s="4">
        <v>1</v>
      </c>
      <c r="N11" s="3"/>
      <c r="P11" s="2">
        <f>'Generalized Data'!M35</f>
        <v>20</v>
      </c>
      <c r="Q11" s="91">
        <v>2011</v>
      </c>
      <c r="T11" s="81">
        <f>'Generalized Data'!$O$35</f>
        <v>3</v>
      </c>
      <c r="U11" s="22">
        <f>T11</f>
        <v>3</v>
      </c>
      <c r="V11" s="80">
        <f>T11</f>
        <v>3</v>
      </c>
      <c r="W11" s="80">
        <f>V11</f>
        <v>3</v>
      </c>
      <c r="X11">
        <v>0.15</v>
      </c>
      <c r="AA11" s="23">
        <f t="shared" ref="AA11:AA47" si="0">IF(I11="","",I11)</f>
        <v>16</v>
      </c>
      <c r="AB11" s="23">
        <f>IF(K11="","",K11)</f>
        <v>800</v>
      </c>
    </row>
    <row r="12" spans="1:32" x14ac:dyDescent="0.2">
      <c r="E12" t="s">
        <v>82</v>
      </c>
      <c r="H12" s="18"/>
      <c r="I12" s="4"/>
      <c r="J12" s="4"/>
      <c r="K12" s="20"/>
      <c r="L12" s="20"/>
      <c r="M12" s="4"/>
      <c r="N12" s="3"/>
      <c r="P12" s="2"/>
      <c r="T12" s="82"/>
      <c r="V12" s="79"/>
      <c r="W12" s="79"/>
      <c r="AA12" s="23" t="str">
        <f t="shared" si="0"/>
        <v/>
      </c>
      <c r="AB12" s="23" t="str">
        <f t="shared" ref="AB12:AB47" si="1">IF(K12="","",K12)</f>
        <v/>
      </c>
    </row>
    <row r="13" spans="1:32" x14ac:dyDescent="0.2">
      <c r="B13" t="str">
        <f>"R_ES-SH-SD_"&amp;RIGHT(C13,3)&amp;"03"</f>
        <v>R_ES-SH-SD_ELC03</v>
      </c>
      <c r="C13" t="s">
        <v>81</v>
      </c>
      <c r="D13" t="str">
        <f>$AF$6</f>
        <v>R_ES-SD-SpHeat</v>
      </c>
      <c r="F13">
        <f>Q13</f>
        <v>2011</v>
      </c>
      <c r="H13" s="18">
        <f>'Generalized Data'!$C$4</f>
        <v>31.536000000000001</v>
      </c>
      <c r="I13" s="4">
        <f>'Generalized Data'!C36</f>
        <v>18</v>
      </c>
      <c r="J13" s="4">
        <f>'Generalized Data'!D36</f>
        <v>7.46</v>
      </c>
      <c r="K13" s="20">
        <f>'Generalized Data'!E36</f>
        <v>900</v>
      </c>
      <c r="L13" s="20">
        <f>'Generalized Data'!F36</f>
        <v>746</v>
      </c>
      <c r="M13" s="4">
        <v>1</v>
      </c>
      <c r="N13" s="3"/>
      <c r="P13" s="2">
        <f>'Generalized Data'!M36</f>
        <v>20</v>
      </c>
      <c r="Q13" s="91">
        <v>2011</v>
      </c>
      <c r="R13">
        <v>4.5</v>
      </c>
      <c r="T13" s="81">
        <f>'Generalized Data'!$O$36</f>
        <v>3</v>
      </c>
      <c r="U13" s="22">
        <f>T13</f>
        <v>3</v>
      </c>
      <c r="V13" s="80">
        <f>T13</f>
        <v>3</v>
      </c>
      <c r="W13" s="80">
        <f>V13</f>
        <v>3</v>
      </c>
      <c r="X13">
        <v>0.15</v>
      </c>
      <c r="Y13">
        <v>999</v>
      </c>
      <c r="Z13">
        <v>0.6</v>
      </c>
      <c r="AA13" s="23">
        <f t="shared" si="0"/>
        <v>18</v>
      </c>
      <c r="AB13" s="23">
        <f t="shared" si="1"/>
        <v>900</v>
      </c>
    </row>
    <row r="14" spans="1:32" x14ac:dyDescent="0.2">
      <c r="D14" t="str">
        <f>$AF$8</f>
        <v>R_ES-SD-SpCool</v>
      </c>
      <c r="H14" s="18"/>
      <c r="I14" s="4"/>
      <c r="J14" s="4"/>
      <c r="K14" s="20"/>
      <c r="L14" s="20"/>
      <c r="M14" s="4"/>
      <c r="N14" s="3"/>
      <c r="P14" s="2"/>
      <c r="T14" s="82"/>
      <c r="V14" s="79"/>
      <c r="W14" s="79"/>
      <c r="AA14" s="23" t="str">
        <f t="shared" si="0"/>
        <v/>
      </c>
      <c r="AB14" s="23" t="str">
        <f t="shared" si="1"/>
        <v/>
      </c>
    </row>
    <row r="15" spans="1:32" x14ac:dyDescent="0.2">
      <c r="E15" t="s">
        <v>82</v>
      </c>
      <c r="H15" s="18"/>
      <c r="I15" s="4"/>
      <c r="J15" s="4"/>
      <c r="K15" s="20"/>
      <c r="L15" s="20"/>
      <c r="M15" s="4"/>
      <c r="N15" s="3"/>
      <c r="P15" s="2"/>
      <c r="T15" s="82"/>
      <c r="V15" s="79"/>
      <c r="W15" s="79"/>
      <c r="AA15" s="23" t="str">
        <f t="shared" si="0"/>
        <v/>
      </c>
      <c r="AB15" s="23" t="str">
        <f t="shared" si="1"/>
        <v/>
      </c>
    </row>
    <row r="16" spans="1:32" x14ac:dyDescent="0.2">
      <c r="B16" t="str">
        <f>"R_ES-SH-SD_"&amp;RIGHT(C16,3)&amp;"04"</f>
        <v>R_ES-SH-SD_ELC04</v>
      </c>
      <c r="C16" t="s">
        <v>81</v>
      </c>
      <c r="D16" t="str">
        <f>$AF$6</f>
        <v>R_ES-SD-SpHeat</v>
      </c>
      <c r="F16">
        <f>Q16</f>
        <v>2011</v>
      </c>
      <c r="H16" s="18">
        <f>'Generalized Data'!$C$4</f>
        <v>31.536000000000001</v>
      </c>
      <c r="I16" s="4">
        <f>'Generalized Data'!C37</f>
        <v>19.800000000000004</v>
      </c>
      <c r="J16" s="4">
        <f>'Generalized Data'!D37</f>
        <v>8.2059999999999995</v>
      </c>
      <c r="K16" s="20">
        <f>'Generalized Data'!E37</f>
        <v>990.00000000000011</v>
      </c>
      <c r="L16" s="20">
        <f>'Generalized Data'!F37</f>
        <v>820.6</v>
      </c>
      <c r="M16" s="4">
        <v>1</v>
      </c>
      <c r="N16" s="3"/>
      <c r="P16" s="2">
        <f>'Generalized Data'!M37</f>
        <v>20</v>
      </c>
      <c r="Q16" s="91">
        <v>2011</v>
      </c>
      <c r="R16">
        <v>4.7</v>
      </c>
      <c r="T16" s="81">
        <f>'Generalized Data'!$O$37</f>
        <v>3.3</v>
      </c>
      <c r="U16" s="22">
        <f>T16</f>
        <v>3.3</v>
      </c>
      <c r="V16" s="80">
        <f>T16</f>
        <v>3.3</v>
      </c>
      <c r="W16" s="80">
        <f>V16</f>
        <v>3.3</v>
      </c>
      <c r="X16">
        <v>0.15</v>
      </c>
      <c r="Y16">
        <v>999</v>
      </c>
      <c r="Z16">
        <v>0.6</v>
      </c>
      <c r="AA16" s="23">
        <f t="shared" si="0"/>
        <v>19.800000000000004</v>
      </c>
      <c r="AB16" s="23">
        <f t="shared" si="1"/>
        <v>990.00000000000011</v>
      </c>
    </row>
    <row r="17" spans="2:28" x14ac:dyDescent="0.2">
      <c r="D17" t="str">
        <f>$AF$8</f>
        <v>R_ES-SD-SpCool</v>
      </c>
      <c r="H17" s="18"/>
      <c r="I17" s="4"/>
      <c r="J17" s="4"/>
      <c r="K17" s="20"/>
      <c r="L17" s="20"/>
      <c r="M17" s="4"/>
      <c r="N17" s="3"/>
      <c r="P17" s="2"/>
      <c r="T17" s="22"/>
      <c r="V17" s="79"/>
      <c r="W17" s="79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82</v>
      </c>
      <c r="H18" s="18"/>
      <c r="I18" s="4"/>
      <c r="J18" s="4"/>
      <c r="K18" s="20"/>
      <c r="L18" s="20"/>
      <c r="M18" s="4"/>
      <c r="N18" s="3"/>
      <c r="P18" s="2"/>
      <c r="T18" s="79"/>
      <c r="V18" s="79"/>
      <c r="W18" s="79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"R_ES-SH-SD_"&amp;RIGHT(C19,3)&amp;"05"</f>
        <v>R_ES-SH-SD_ELC05</v>
      </c>
      <c r="C19" t="s">
        <v>81</v>
      </c>
      <c r="D19" t="str">
        <f>$AF$6</f>
        <v>R_ES-SD-SpHeat</v>
      </c>
      <c r="F19">
        <f>Q19</f>
        <v>2011</v>
      </c>
      <c r="H19" s="18">
        <f>'Generalized Data'!$C$4</f>
        <v>31.536000000000001</v>
      </c>
      <c r="I19" s="4">
        <f>'Generalized Data'!C38</f>
        <v>28</v>
      </c>
      <c r="J19" s="4">
        <f>'Generalized Data'!D38</f>
        <v>11.504000000000001</v>
      </c>
      <c r="K19" s="20">
        <f>'Generalized Data'!E38</f>
        <v>1400</v>
      </c>
      <c r="L19" s="20">
        <f>'Generalized Data'!F38</f>
        <v>1150.4000000000001</v>
      </c>
      <c r="M19" s="4">
        <v>1</v>
      </c>
      <c r="N19" s="3"/>
      <c r="P19" s="2">
        <f>'Generalized Data'!M38</f>
        <v>20</v>
      </c>
      <c r="Q19" s="91">
        <v>2011</v>
      </c>
      <c r="R19">
        <v>5</v>
      </c>
      <c r="T19" s="81">
        <f>'Generalized Data'!O38</f>
        <v>3.8</v>
      </c>
      <c r="U19" s="22">
        <f>T19-0.5</f>
        <v>3.3</v>
      </c>
      <c r="V19" s="22">
        <f>T19</f>
        <v>3.8</v>
      </c>
      <c r="W19" s="22">
        <f>V19+0.5</f>
        <v>4.3</v>
      </c>
      <c r="X19">
        <v>0.15</v>
      </c>
      <c r="Y19">
        <v>999</v>
      </c>
      <c r="Z19">
        <v>0.6</v>
      </c>
      <c r="AA19" s="23">
        <f t="shared" si="0"/>
        <v>28</v>
      </c>
      <c r="AB19" s="23">
        <f t="shared" si="1"/>
        <v>1400</v>
      </c>
    </row>
    <row r="20" spans="2:28" x14ac:dyDescent="0.2">
      <c r="D20" t="str">
        <f>$AF$8</f>
        <v>R_ES-SD-SpCool</v>
      </c>
      <c r="H20" s="18"/>
      <c r="I20" s="4"/>
      <c r="J20" s="4"/>
      <c r="K20" s="20"/>
      <c r="L20" s="20"/>
      <c r="M20" s="4"/>
      <c r="N20" s="3"/>
      <c r="P20" s="2"/>
      <c r="T20" s="81"/>
      <c r="U20" s="22"/>
      <c r="V20" s="22"/>
      <c r="W20" s="22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58</v>
      </c>
      <c r="H21" s="18"/>
      <c r="I21" s="4"/>
      <c r="J21" s="4"/>
      <c r="K21" s="20"/>
      <c r="L21" s="20"/>
      <c r="M21" s="4"/>
      <c r="N21" s="3"/>
      <c r="P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"R_ES-SH-SD_"&amp;RIGHT(C22,3)&amp;"06"</f>
        <v>R_ES-SH-SD_ELC06</v>
      </c>
      <c r="C22" t="s">
        <v>81</v>
      </c>
      <c r="D22" t="str">
        <f>$AF$6</f>
        <v>R_ES-SD-SpHeat</v>
      </c>
      <c r="F22">
        <f>Q22</f>
        <v>2011</v>
      </c>
      <c r="H22" s="18">
        <f>'Generalized Data'!$C$4</f>
        <v>31.536000000000001</v>
      </c>
      <c r="I22" s="4">
        <f>'Generalized Data'!C39</f>
        <v>42</v>
      </c>
      <c r="J22" s="4">
        <f>'Generalized Data'!D39</f>
        <v>17.16</v>
      </c>
      <c r="K22" s="20">
        <f>'Generalized Data'!E39</f>
        <v>2100</v>
      </c>
      <c r="L22" s="20">
        <f>'Generalized Data'!F39</f>
        <v>1716</v>
      </c>
      <c r="M22" s="4">
        <v>1</v>
      </c>
      <c r="N22" s="3"/>
      <c r="P22" s="2">
        <f>'Generalized Data'!M39</f>
        <v>20</v>
      </c>
      <c r="Q22" s="91">
        <v>2011</v>
      </c>
      <c r="R22">
        <v>5</v>
      </c>
      <c r="S22" s="81">
        <f>'Generalized Data'!O39</f>
        <v>4.4444444444444446</v>
      </c>
      <c r="U22" s="22"/>
      <c r="V22" s="22"/>
      <c r="W22" s="22"/>
      <c r="X22">
        <v>0.15</v>
      </c>
      <c r="Y22">
        <v>999</v>
      </c>
      <c r="Z22">
        <v>0.6</v>
      </c>
      <c r="AA22" s="23">
        <f t="shared" si="0"/>
        <v>42</v>
      </c>
      <c r="AB22" s="23">
        <f t="shared" si="1"/>
        <v>2100</v>
      </c>
    </row>
    <row r="23" spans="2:28" x14ac:dyDescent="0.2">
      <c r="D23" t="str">
        <f>$AF$8</f>
        <v>R_ES-SD-SpCool</v>
      </c>
      <c r="H23" s="18"/>
      <c r="I23" s="4"/>
      <c r="J23" s="4"/>
      <c r="K23" s="20"/>
      <c r="L23" s="20"/>
      <c r="M23" s="4"/>
      <c r="N23" s="3"/>
      <c r="P23" s="2"/>
      <c r="T23" s="81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58</v>
      </c>
      <c r="H24" s="18"/>
      <c r="I24" s="4"/>
      <c r="J24" s="4"/>
      <c r="K24" s="20"/>
      <c r="L24" s="20"/>
      <c r="M24" s="4"/>
      <c r="N24" s="3"/>
      <c r="P24" s="2"/>
      <c r="T24" s="81"/>
      <c r="AA24" s="23" t="str">
        <f t="shared" si="0"/>
        <v/>
      </c>
      <c r="AB24" s="23" t="str">
        <f t="shared" si="1"/>
        <v/>
      </c>
    </row>
    <row r="25" spans="2:28" x14ac:dyDescent="0.2">
      <c r="B25" t="str">
        <f>"R_ES-SH-SD_"&amp;RIGHT(C25,3)&amp;"07"</f>
        <v>R_ES-SH-SD_ELC07</v>
      </c>
      <c r="C25" t="s">
        <v>81</v>
      </c>
      <c r="D25" t="str">
        <f>$AF$6</f>
        <v>R_ES-SD-SpHeat</v>
      </c>
      <c r="F25">
        <f>Q25</f>
        <v>2011</v>
      </c>
      <c r="H25" s="18">
        <f>'Generalized Data'!$C$4</f>
        <v>31.536000000000001</v>
      </c>
      <c r="I25" s="4">
        <f>'Generalized Data'!C40</f>
        <v>48</v>
      </c>
      <c r="J25" s="4">
        <f>'Generalized Data'!D40</f>
        <v>29.669999999999998</v>
      </c>
      <c r="K25" s="20">
        <f>'Generalized Data'!E40</f>
        <v>1200</v>
      </c>
      <c r="L25" s="20">
        <f>'Generalized Data'!F40</f>
        <v>989</v>
      </c>
      <c r="M25" s="4">
        <v>1</v>
      </c>
      <c r="N25" s="3"/>
      <c r="P25" s="2">
        <f>'Generalized Data'!M40</f>
        <v>20</v>
      </c>
      <c r="Q25" s="91">
        <v>2011</v>
      </c>
      <c r="R25">
        <v>6</v>
      </c>
      <c r="S25" s="81">
        <f>'Generalized Data'!O40</f>
        <v>4</v>
      </c>
      <c r="U25" s="22"/>
      <c r="V25" s="22"/>
      <c r="W25" s="22"/>
      <c r="X25">
        <v>0.15</v>
      </c>
      <c r="Y25">
        <v>999</v>
      </c>
      <c r="Z25">
        <v>0.6</v>
      </c>
      <c r="AA25" s="23">
        <f t="shared" si="0"/>
        <v>48</v>
      </c>
      <c r="AB25" s="23">
        <f t="shared" si="1"/>
        <v>1200</v>
      </c>
    </row>
    <row r="26" spans="2:28" x14ac:dyDescent="0.2">
      <c r="D26" t="str">
        <f>$AF$8</f>
        <v>R_ES-SD-SpCool</v>
      </c>
      <c r="H26" s="18"/>
      <c r="I26" s="4"/>
      <c r="K26" s="4"/>
      <c r="M26" s="3"/>
      <c r="N26" s="3"/>
      <c r="P26" s="2"/>
      <c r="T26" s="79"/>
      <c r="AA26" s="23" t="str">
        <f t="shared" si="0"/>
        <v/>
      </c>
      <c r="AB26" s="23" t="str">
        <f t="shared" si="1"/>
        <v/>
      </c>
    </row>
    <row r="27" spans="2:28" x14ac:dyDescent="0.2">
      <c r="E27" t="s">
        <v>58</v>
      </c>
      <c r="H27" s="18"/>
      <c r="I27" s="4"/>
      <c r="K27" s="4"/>
      <c r="M27" s="3"/>
      <c r="N27" s="3"/>
      <c r="P27" s="2"/>
      <c r="R27" s="79"/>
      <c r="T27" s="79"/>
      <c r="AA27" s="23" t="str">
        <f t="shared" si="0"/>
        <v/>
      </c>
      <c r="AB27" s="23" t="str">
        <f t="shared" si="1"/>
        <v/>
      </c>
    </row>
    <row r="28" spans="2:28" x14ac:dyDescent="0.2">
      <c r="B28" t="str">
        <f>"R_ES-SH-SD_"&amp;RIGHT(C28,3)&amp;"01"</f>
        <v>R_ES-SH-SD_GAS01</v>
      </c>
      <c r="C28" t="s">
        <v>83</v>
      </c>
      <c r="D28" t="str">
        <f>$AF$6</f>
        <v>R_ES-SD-SpHeat</v>
      </c>
      <c r="F28">
        <f>Q28</f>
        <v>2011</v>
      </c>
      <c r="G28">
        <v>1</v>
      </c>
      <c r="H28" s="18">
        <f>'Generalized Data'!$C$3</f>
        <v>6.3071999999999999</v>
      </c>
      <c r="I28" s="4">
        <f>'Generalized Data'!C41</f>
        <v>2.2516985919999999</v>
      </c>
      <c r="K28" s="4">
        <f>'Generalized Data'!E41</f>
        <v>39.40472536</v>
      </c>
      <c r="M28" s="3">
        <f>'Generalized Data'!G41</f>
        <v>0.84</v>
      </c>
      <c r="N28" s="3"/>
      <c r="O28" s="3"/>
      <c r="P28" s="2">
        <f>'Generalized Data'!M41</f>
        <v>15</v>
      </c>
      <c r="Q28" s="91">
        <v>2011</v>
      </c>
      <c r="R28" s="78"/>
      <c r="T28" s="78"/>
      <c r="AA28" s="23"/>
      <c r="AB28" s="23"/>
    </row>
    <row r="29" spans="2:28" x14ac:dyDescent="0.2">
      <c r="B29" t="str">
        <f>"R_ES-SH-SD_"&amp;RIGHT(C29,3)&amp;"02"</f>
        <v>R_ES-SH-SD_GAS02</v>
      </c>
      <c r="C29" t="s">
        <v>83</v>
      </c>
      <c r="D29" t="str">
        <f>$AF$6</f>
        <v>R_ES-SD-SpHeat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Data'!C42</f>
        <v>10.716000000000001</v>
      </c>
      <c r="K29" s="4">
        <f>'Generalized Data'!E42</f>
        <v>214.32</v>
      </c>
      <c r="M29" s="3">
        <f>'Generalized Data'!G42</f>
        <v>0.9</v>
      </c>
      <c r="N29" s="3"/>
      <c r="O29" s="3"/>
      <c r="P29" s="2">
        <f>'Generalized Data'!M42</f>
        <v>20</v>
      </c>
      <c r="Q29" s="91">
        <v>2011</v>
      </c>
      <c r="R29" s="78"/>
      <c r="T29" s="78"/>
      <c r="AA29" s="23"/>
      <c r="AB29" s="23"/>
    </row>
    <row r="30" spans="2:28" x14ac:dyDescent="0.2">
      <c r="B30" t="str">
        <f>"R_ES-SH-SD_"&amp;RIGHT(C30,3)&amp;"03"</f>
        <v>R_ES-SH-SD_GAS03</v>
      </c>
      <c r="C30" t="s">
        <v>83</v>
      </c>
      <c r="D30" t="str">
        <f>$AF$6</f>
        <v>R_ES-SD-SpHeat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Data'!C43</f>
        <v>11.844000000000001</v>
      </c>
      <c r="K30" s="4">
        <f>'Generalized Data'!E43</f>
        <v>236.88</v>
      </c>
      <c r="M30" s="3">
        <f>'Generalized Data'!G43</f>
        <v>0.90500000000000003</v>
      </c>
      <c r="N30" s="3">
        <f>'Generalized Data'!H43</f>
        <v>0.66298342541436461</v>
      </c>
      <c r="O30" s="3"/>
      <c r="P30" s="2">
        <f>'Generalized Data'!M43</f>
        <v>20</v>
      </c>
      <c r="Q30" s="91">
        <v>2011</v>
      </c>
      <c r="R30" s="78"/>
      <c r="T30" s="78"/>
      <c r="AA30" s="23"/>
      <c r="AB30" s="23"/>
    </row>
    <row r="31" spans="2:28" x14ac:dyDescent="0.2">
      <c r="D31" t="str">
        <f>$AF$7</f>
        <v>R_ES-SD-WatHeat</v>
      </c>
      <c r="H31" s="18"/>
      <c r="I31" s="4"/>
      <c r="K31" s="4"/>
      <c r="M31" s="3"/>
      <c r="N31" s="3"/>
      <c r="O31" s="3"/>
      <c r="P31" s="2"/>
      <c r="R31" s="78"/>
      <c r="T31" s="78"/>
      <c r="AA31" s="23"/>
      <c r="AB31" s="23"/>
    </row>
    <row r="32" spans="2:28" x14ac:dyDescent="0.2">
      <c r="B32" t="str">
        <f>"R_ES-SH-SD_"&amp;RIGHT(C32,3)&amp;"04"</f>
        <v>R_ES-SH-SD_GAS04</v>
      </c>
      <c r="C32" t="s">
        <v>83</v>
      </c>
      <c r="D32" t="str">
        <f>$AF$6</f>
        <v>R_ES-SD-SpHeat</v>
      </c>
      <c r="F32">
        <f>Q32</f>
        <v>2011</v>
      </c>
      <c r="G32">
        <v>1</v>
      </c>
      <c r="H32" s="18">
        <f>'Generalized Data'!$C$4</f>
        <v>31.536000000000001</v>
      </c>
      <c r="I32" s="4">
        <f>'Generalized Data'!C44</f>
        <v>18.8</v>
      </c>
      <c r="K32" s="4">
        <f>'Generalized Data'!E44</f>
        <v>376</v>
      </c>
      <c r="M32" s="3">
        <f>'Generalized Data'!G44</f>
        <v>1.0249999999999999</v>
      </c>
      <c r="N32" s="3"/>
      <c r="O32" s="3"/>
      <c r="P32" s="2">
        <f>'Generalized Data'!M44</f>
        <v>20</v>
      </c>
      <c r="Q32" s="91">
        <v>2011</v>
      </c>
      <c r="R32" s="78"/>
      <c r="T32" s="78"/>
      <c r="AA32" s="23"/>
      <c r="AB32" s="23"/>
    </row>
    <row r="33" spans="2:28" x14ac:dyDescent="0.2">
      <c r="B33" t="str">
        <f>"R_ES-SH-SD_"&amp;RIGHT(C33,3)&amp;"05"</f>
        <v>R_ES-SH-SD_GAS05</v>
      </c>
      <c r="C33" t="s">
        <v>83</v>
      </c>
      <c r="D33" t="str">
        <f>$AF$6</f>
        <v>R_ES-SD-SpHeat</v>
      </c>
      <c r="F33">
        <f>Q33</f>
        <v>2011</v>
      </c>
      <c r="G33">
        <v>1</v>
      </c>
      <c r="H33" s="18">
        <f>'Generalized Data'!$C$4</f>
        <v>31.536000000000001</v>
      </c>
      <c r="I33" s="4">
        <f>'Generalized Data'!C45</f>
        <v>20.888888888888889</v>
      </c>
      <c r="K33" s="4">
        <f>'Generalized Data'!E45</f>
        <v>417.77777777777777</v>
      </c>
      <c r="M33" s="3">
        <f>'Generalized Data'!G45</f>
        <v>1.07</v>
      </c>
      <c r="N33" s="3">
        <f>'Generalized Data'!H45</f>
        <v>0.56074766355140182</v>
      </c>
      <c r="O33" s="3"/>
      <c r="P33" s="2">
        <f>'Generalized Data'!M45</f>
        <v>20</v>
      </c>
      <c r="Q33" s="91">
        <v>2011</v>
      </c>
      <c r="R33" s="78"/>
      <c r="T33" s="78"/>
      <c r="AA33" s="23"/>
      <c r="AB33" s="23"/>
    </row>
    <row r="34" spans="2:28" x14ac:dyDescent="0.2">
      <c r="D34" t="str">
        <f>$AF$7</f>
        <v>R_ES-SD-WatHeat</v>
      </c>
      <c r="H34" s="18"/>
      <c r="I34" s="4"/>
      <c r="K34" s="4"/>
      <c r="M34" s="3"/>
      <c r="N34" s="3"/>
      <c r="O34" s="3"/>
      <c r="P34" s="2"/>
      <c r="R34" s="78"/>
      <c r="T34" s="78"/>
      <c r="AA34" s="23" t="str">
        <f t="shared" si="0"/>
        <v/>
      </c>
      <c r="AB34" s="23" t="str">
        <f t="shared" si="1"/>
        <v/>
      </c>
    </row>
    <row r="35" spans="2:28" x14ac:dyDescent="0.2">
      <c r="B35" t="str">
        <f>"R_ES-SH-SD_"&amp;RIGHT(C35,3)&amp;"06"</f>
        <v>R_ES-SH-SD_GAS06</v>
      </c>
      <c r="C35" t="s">
        <v>83</v>
      </c>
      <c r="D35" t="str">
        <f>$AF$6</f>
        <v>R_ES-SD-SpHeat</v>
      </c>
      <c r="F35">
        <f>Q35</f>
        <v>2011</v>
      </c>
      <c r="H35" s="18">
        <f>'Generalized Data'!$C$4</f>
        <v>31.536000000000001</v>
      </c>
      <c r="I35" s="4">
        <f>'Generalized Data'!C46</f>
        <v>49.6</v>
      </c>
      <c r="J35" s="4">
        <f>'Generalized Data'!D46</f>
        <v>40.052</v>
      </c>
      <c r="K35" s="4">
        <f>'Generalized Data'!E46</f>
        <v>1240</v>
      </c>
      <c r="L35" s="4">
        <f>'Generalized Data'!F46</f>
        <v>1001.3</v>
      </c>
      <c r="M35" s="4">
        <v>1</v>
      </c>
      <c r="N35" s="3"/>
      <c r="P35" s="2">
        <f>'Generalized Data'!M46</f>
        <v>20</v>
      </c>
      <c r="Q35" s="91">
        <v>2011</v>
      </c>
      <c r="R35" s="78">
        <v>0.9</v>
      </c>
      <c r="T35" s="81">
        <f>'Generalized Data'!$O$46</f>
        <v>1.5</v>
      </c>
      <c r="U35" s="22">
        <f>T35</f>
        <v>1.5</v>
      </c>
      <c r="V35" s="22">
        <f>U35</f>
        <v>1.5</v>
      </c>
      <c r="W35" s="22">
        <f>V35</f>
        <v>1.5</v>
      </c>
      <c r="X35">
        <v>0.15</v>
      </c>
      <c r="Y35">
        <v>999</v>
      </c>
      <c r="Z35">
        <v>0.6</v>
      </c>
      <c r="AA35" s="23">
        <f t="shared" si="0"/>
        <v>49.6</v>
      </c>
      <c r="AB35" s="23">
        <f t="shared" si="1"/>
        <v>1240</v>
      </c>
    </row>
    <row r="36" spans="2:28" x14ac:dyDescent="0.2">
      <c r="D36" t="str">
        <f>$AF$8</f>
        <v>R_ES-SD-SpCool</v>
      </c>
      <c r="H36" s="18"/>
      <c r="I36" s="4"/>
      <c r="J36" s="4"/>
      <c r="K36" s="4"/>
      <c r="L36" s="4"/>
      <c r="M36" s="3"/>
      <c r="N36" s="3"/>
      <c r="P36" s="2"/>
      <c r="R36" s="78"/>
      <c r="T36" s="78"/>
      <c r="AA36" s="23" t="str">
        <f t="shared" si="0"/>
        <v/>
      </c>
      <c r="AB36" s="23" t="str">
        <f t="shared" si="1"/>
        <v/>
      </c>
    </row>
    <row r="37" spans="2:28" x14ac:dyDescent="0.2">
      <c r="B37" t="str">
        <f>"R_ES-SH-SD_"&amp;RIGHT(C37,3)&amp;"07"</f>
        <v>R_ES-SH-SD_GAS07</v>
      </c>
      <c r="C37" t="s">
        <v>83</v>
      </c>
      <c r="D37" t="str">
        <f>$AF$6</f>
        <v>R_ES-SD-SpHeat</v>
      </c>
      <c r="F37">
        <f>Q37</f>
        <v>2011</v>
      </c>
      <c r="H37" s="18">
        <f>'Generalized Data'!$C$4</f>
        <v>31.536000000000001</v>
      </c>
      <c r="I37" s="4">
        <f>'Generalized Data'!C47</f>
        <v>61.6</v>
      </c>
      <c r="J37" s="4">
        <f>'Generalized Data'!D47</f>
        <v>62.261999999999993</v>
      </c>
      <c r="K37" s="4">
        <f>'Generalized Data'!E47</f>
        <v>1540</v>
      </c>
      <c r="L37" s="4">
        <f>'Generalized Data'!F47</f>
        <v>1244.3</v>
      </c>
      <c r="M37" s="4">
        <v>1</v>
      </c>
      <c r="N37" s="3"/>
      <c r="P37" s="2">
        <f>'Generalized Data'!M47</f>
        <v>20</v>
      </c>
      <c r="Q37" s="91">
        <v>2011</v>
      </c>
      <c r="R37" s="22">
        <v>1</v>
      </c>
      <c r="S37" s="82">
        <f>'Generalized Data'!$O$47</f>
        <v>2</v>
      </c>
      <c r="U37" s="22"/>
      <c r="V37" s="22"/>
      <c r="W37" s="22"/>
      <c r="X37">
        <v>0.15</v>
      </c>
      <c r="Y37">
        <v>999</v>
      </c>
      <c r="Z37">
        <v>0.6</v>
      </c>
      <c r="AA37" s="23">
        <f t="shared" si="0"/>
        <v>61.6</v>
      </c>
      <c r="AB37" s="23">
        <f t="shared" si="1"/>
        <v>1540</v>
      </c>
    </row>
    <row r="38" spans="2:28" x14ac:dyDescent="0.2">
      <c r="D38" t="str">
        <f>$AF$8</f>
        <v>R_ES-SD-SpCool</v>
      </c>
      <c r="H38" s="18"/>
      <c r="I38" s="4"/>
      <c r="K38" s="4"/>
      <c r="L38" s="4"/>
      <c r="M38" s="3"/>
      <c r="N38" s="3"/>
      <c r="P38" s="2"/>
      <c r="R38" s="78"/>
      <c r="T38" s="78"/>
      <c r="AA38" s="23" t="str">
        <f t="shared" si="0"/>
        <v/>
      </c>
      <c r="AB38" s="23" t="str">
        <f t="shared" si="1"/>
        <v/>
      </c>
    </row>
    <row r="39" spans="2:28" x14ac:dyDescent="0.2">
      <c r="B39" t="str">
        <f>"R_ES-SH-SD_"&amp;RIGHT(C39,3)&amp;"01"</f>
        <v>R_ES-SH-SD_HH201</v>
      </c>
      <c r="C39" t="s">
        <v>92</v>
      </c>
      <c r="D39" t="str">
        <f>$AF$6</f>
        <v>R_ES-SD-SpHeat</v>
      </c>
      <c r="F39">
        <f>Q39</f>
        <v>2011</v>
      </c>
      <c r="G39">
        <v>1</v>
      </c>
      <c r="H39" s="18">
        <f>'Generalized Data'!$C$4</f>
        <v>31.536000000000001</v>
      </c>
      <c r="I39" s="4">
        <f>'Generalized Data'!C48</f>
        <v>104.41448042331427</v>
      </c>
      <c r="K39" s="4">
        <f>'Generalized Data'!E48</f>
        <v>1827.2534074079999</v>
      </c>
      <c r="M39" s="3">
        <f>'Generalized Data'!G48</f>
        <v>0.86</v>
      </c>
      <c r="N39" s="3"/>
      <c r="O39" s="3"/>
      <c r="P39" s="2">
        <f>'Generalized Data'!M48</f>
        <v>20</v>
      </c>
      <c r="Q39" s="91">
        <v>2011</v>
      </c>
      <c r="R39" s="78"/>
      <c r="T39" s="78"/>
      <c r="AA39" s="23"/>
      <c r="AB39" s="23"/>
    </row>
    <row r="40" spans="2:28" x14ac:dyDescent="0.2">
      <c r="F40">
        <v>2030</v>
      </c>
      <c r="H40" s="18"/>
      <c r="I40" s="4"/>
      <c r="K40" s="4"/>
      <c r="M40" s="3"/>
      <c r="N40" s="3"/>
      <c r="O40" s="3"/>
      <c r="P40" s="2"/>
      <c r="R40" s="78"/>
      <c r="T40" s="78"/>
      <c r="AA40" s="23"/>
      <c r="AB40" s="23"/>
    </row>
    <row r="41" spans="2:28" x14ac:dyDescent="0.2">
      <c r="B41" t="str">
        <f>"R_ES-SH-SD_"&amp;RIGHT(C41,3)&amp;"01"</f>
        <v>R_ES-SH-SD_LPG01</v>
      </c>
      <c r="C41" t="s">
        <v>85</v>
      </c>
      <c r="D41" t="str">
        <f>$AF$6</f>
        <v>R_ES-SD-SpHeat</v>
      </c>
      <c r="F41">
        <f>Q41</f>
        <v>2011</v>
      </c>
      <c r="G41">
        <v>1</v>
      </c>
      <c r="H41" s="18">
        <f>'Generalized Data'!$C$3</f>
        <v>6.3071999999999999</v>
      </c>
      <c r="I41" s="4">
        <f>'Generalized Data'!C49</f>
        <v>2.2516985919999999</v>
      </c>
      <c r="K41" s="4">
        <f>'Generalized Data'!E49</f>
        <v>39.40472536</v>
      </c>
      <c r="M41" s="3">
        <f>'Generalized Data'!G49</f>
        <v>0.84</v>
      </c>
      <c r="N41" s="3"/>
      <c r="O41" s="3"/>
      <c r="P41" s="2">
        <f>'Generalized Data'!M49</f>
        <v>15</v>
      </c>
      <c r="Q41" s="91">
        <v>2011</v>
      </c>
      <c r="R41" s="78"/>
      <c r="T41" s="78"/>
      <c r="AA41" s="23"/>
      <c r="AB41" s="23"/>
    </row>
    <row r="42" spans="2:28" x14ac:dyDescent="0.2">
      <c r="B42" t="str">
        <f>"R_ES-SH-SD_"&amp;RIGHT(C42,3)&amp;"02"</f>
        <v>R_ES-SH-SD_LPG02</v>
      </c>
      <c r="C42" t="s">
        <v>85</v>
      </c>
      <c r="D42" t="str">
        <f>$AF$6</f>
        <v>R_ES-SD-SpHeat</v>
      </c>
      <c r="F42">
        <f>Q42</f>
        <v>2011</v>
      </c>
      <c r="G42">
        <v>1</v>
      </c>
      <c r="H42" s="18">
        <f>'Generalized Data'!$C$4</f>
        <v>31.536000000000001</v>
      </c>
      <c r="I42" s="4">
        <f>'Generalized Data'!C50</f>
        <v>8.2749923256000013</v>
      </c>
      <c r="K42" s="4">
        <f>'Generalized Data'!E50</f>
        <v>165.499846512</v>
      </c>
      <c r="M42" s="3">
        <f>'Generalized Data'!G50</f>
        <v>0.88</v>
      </c>
      <c r="N42" s="3"/>
      <c r="O42" s="3"/>
      <c r="P42" s="2">
        <f>'Generalized Data'!M50</f>
        <v>20</v>
      </c>
      <c r="Q42" s="91">
        <v>2011</v>
      </c>
      <c r="R42" s="78"/>
      <c r="T42" s="78"/>
      <c r="AA42" s="23"/>
      <c r="AB42" s="23"/>
    </row>
    <row r="43" spans="2:28" x14ac:dyDescent="0.2">
      <c r="B43" t="str">
        <f>"R_ES-SH-SD_"&amp;RIGHT(C43,3)&amp;"03"</f>
        <v>R_ES-SH-SD_LPG03</v>
      </c>
      <c r="C43" t="s">
        <v>85</v>
      </c>
      <c r="D43" t="str">
        <f>$AF$6</f>
        <v>R_ES-SD-SpHeat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Data'!C51</f>
        <v>9.1024915581599988</v>
      </c>
      <c r="K43" s="4">
        <f>'Generalized Data'!E51</f>
        <v>182.04983116319997</v>
      </c>
      <c r="M43" s="3">
        <f>'Generalized Data'!G51</f>
        <v>0.91</v>
      </c>
      <c r="N43" s="3">
        <f>'Generalized Data'!H51</f>
        <v>0.65934065934065933</v>
      </c>
      <c r="O43" s="3"/>
      <c r="P43" s="2">
        <f>'Generalized Data'!M51</f>
        <v>20</v>
      </c>
      <c r="Q43" s="91">
        <v>2011</v>
      </c>
      <c r="R43" s="78"/>
      <c r="T43" s="78"/>
      <c r="AA43" s="23"/>
      <c r="AB43" s="23"/>
    </row>
    <row r="44" spans="2:28" x14ac:dyDescent="0.2">
      <c r="D44" t="str">
        <f>$AF$7</f>
        <v>R_ES-SD-WatHeat</v>
      </c>
      <c r="H44" s="18"/>
      <c r="I44" s="4"/>
      <c r="K44" s="4"/>
      <c r="M44" s="3"/>
      <c r="N44" s="3"/>
      <c r="O44" s="3"/>
      <c r="P44" s="2"/>
      <c r="R44" s="78"/>
      <c r="T44" s="78"/>
      <c r="AA44" s="23" t="str">
        <f t="shared" si="0"/>
        <v/>
      </c>
      <c r="AB44" s="23" t="str">
        <f t="shared" si="1"/>
        <v/>
      </c>
    </row>
    <row r="45" spans="2:28" x14ac:dyDescent="0.2">
      <c r="B45" t="str">
        <f>"R_ES-SH-SD_"&amp;RIGHT(C45,3)&amp;"04"</f>
        <v>R_ES-SH-SD_LPG04</v>
      </c>
      <c r="C45" t="s">
        <v>85</v>
      </c>
      <c r="D45" t="str">
        <f>$AF$6</f>
        <v>R_ES-SD-SpHeat</v>
      </c>
      <c r="F45">
        <f>Q45</f>
        <v>2011</v>
      </c>
      <c r="H45" s="18">
        <f>'Generalized Data'!$C$4</f>
        <v>31.536000000000001</v>
      </c>
      <c r="I45" s="4">
        <f>'Generalized Data'!C52</f>
        <v>49.6</v>
      </c>
      <c r="J45" s="4">
        <f>'Generalized Data'!D52</f>
        <v>40.052</v>
      </c>
      <c r="K45" s="4">
        <f>'Generalized Data'!E52</f>
        <v>1240</v>
      </c>
      <c r="L45" s="4">
        <f>'Generalized Data'!F52</f>
        <v>1001.3</v>
      </c>
      <c r="M45" s="4">
        <v>1</v>
      </c>
      <c r="N45" s="3"/>
      <c r="P45" s="2">
        <f>'Generalized Data'!M52</f>
        <v>20</v>
      </c>
      <c r="Q45" s="91">
        <v>2011</v>
      </c>
      <c r="R45" s="78">
        <f>R35</f>
        <v>0.9</v>
      </c>
      <c r="T45" s="78">
        <f>T35</f>
        <v>1.5</v>
      </c>
      <c r="U45" s="78">
        <f>U35</f>
        <v>1.5</v>
      </c>
      <c r="V45" s="78">
        <f>V35</f>
        <v>1.5</v>
      </c>
      <c r="W45" s="78">
        <f>W35</f>
        <v>1.5</v>
      </c>
      <c r="X45">
        <v>0.15</v>
      </c>
      <c r="Y45">
        <v>999</v>
      </c>
      <c r="Z45">
        <v>0.6</v>
      </c>
      <c r="AA45" s="23">
        <f t="shared" si="0"/>
        <v>49.6</v>
      </c>
      <c r="AB45" s="23">
        <f t="shared" si="1"/>
        <v>1240</v>
      </c>
    </row>
    <row r="46" spans="2:28" x14ac:dyDescent="0.2">
      <c r="D46" t="str">
        <f>$AF$8</f>
        <v>R_ES-SD-SpCool</v>
      </c>
      <c r="H46" s="18"/>
      <c r="I46" s="4"/>
      <c r="J46" s="4"/>
      <c r="K46" s="4"/>
      <c r="L46" s="4"/>
      <c r="M46" s="3"/>
      <c r="N46" s="3"/>
      <c r="P46" s="2"/>
      <c r="R46" s="78"/>
      <c r="T46" s="78"/>
      <c r="AA46" s="23" t="str">
        <f t="shared" si="0"/>
        <v/>
      </c>
      <c r="AB46" s="23" t="str">
        <f t="shared" si="1"/>
        <v/>
      </c>
    </row>
    <row r="47" spans="2:28" x14ac:dyDescent="0.2">
      <c r="B47" t="str">
        <f>"R_ES-SH-SD_"&amp;RIGHT(C47,3)&amp;"05"</f>
        <v>R_ES-SH-SD_LPG05</v>
      </c>
      <c r="C47" t="s">
        <v>85</v>
      </c>
      <c r="D47" t="str">
        <f>$AF$6</f>
        <v>R_ES-SD-SpHeat</v>
      </c>
      <c r="F47">
        <f>Q47</f>
        <v>2011</v>
      </c>
      <c r="H47" s="18">
        <f>'Generalized Data'!$C$4</f>
        <v>31.536000000000001</v>
      </c>
      <c r="I47" s="4">
        <f>'Generalized Data'!C53</f>
        <v>61.6</v>
      </c>
      <c r="J47" s="4">
        <f>'Generalized Data'!D53</f>
        <v>62.261999999999993</v>
      </c>
      <c r="K47" s="4">
        <f>'Generalized Data'!E53</f>
        <v>1540</v>
      </c>
      <c r="L47" s="4">
        <f>'Generalized Data'!F53</f>
        <v>1244.3</v>
      </c>
      <c r="M47" s="4">
        <v>1</v>
      </c>
      <c r="N47" s="3"/>
      <c r="P47" s="2">
        <f>'Generalized Data'!M53</f>
        <v>20</v>
      </c>
      <c r="Q47" s="91">
        <v>2011</v>
      </c>
      <c r="R47" s="79">
        <f>R37</f>
        <v>1</v>
      </c>
      <c r="S47" s="79">
        <f>S37</f>
        <v>2</v>
      </c>
      <c r="U47" s="79"/>
      <c r="V47" s="79"/>
      <c r="W47" s="79"/>
      <c r="X47">
        <v>0.15</v>
      </c>
      <c r="Y47">
        <v>999</v>
      </c>
      <c r="Z47">
        <v>0.6</v>
      </c>
      <c r="AA47" s="23">
        <f t="shared" si="0"/>
        <v>61.6</v>
      </c>
      <c r="AB47" s="23">
        <f t="shared" si="1"/>
        <v>1540</v>
      </c>
    </row>
    <row r="48" spans="2:28" x14ac:dyDescent="0.2">
      <c r="D48" t="str">
        <f>$AF$8</f>
        <v>R_ES-SD-SpCool</v>
      </c>
      <c r="H48" s="18"/>
      <c r="I48" s="4"/>
      <c r="K48" s="4"/>
      <c r="M48" s="3"/>
      <c r="N48" s="3"/>
      <c r="P48" s="2"/>
      <c r="R48" s="78"/>
      <c r="T48" s="78"/>
      <c r="U48" s="78"/>
      <c r="V48" s="78"/>
      <c r="W48" s="78"/>
    </row>
    <row r="49" spans="2:23" x14ac:dyDescent="0.2">
      <c r="B49" t="str">
        <f>"R_ES-SH-SD_"&amp;RIGHT(C49,3)&amp;"01"</f>
        <v>R_ES-SH-SD_HET01</v>
      </c>
      <c r="C49" s="30" t="s">
        <v>179</v>
      </c>
      <c r="D49" t="str">
        <f>$AF$6</f>
        <v>R_ES-SD-SpHeat</v>
      </c>
      <c r="F49">
        <f>Q49</f>
        <v>2011</v>
      </c>
      <c r="G49">
        <v>1</v>
      </c>
      <c r="H49" s="18">
        <f>'Generalized Data'!$C$4</f>
        <v>31.536000000000001</v>
      </c>
      <c r="I49" s="4">
        <f>'Generalized Data'!C54</f>
        <v>9.0067943679999996</v>
      </c>
      <c r="K49" s="4">
        <f>'Generalized Data'!E54</f>
        <v>237.55420145599999</v>
      </c>
      <c r="M49" s="3">
        <f>'Generalized Data'!G54</f>
        <v>0.95</v>
      </c>
      <c r="N49" s="3">
        <f>'Generalized Data'!H54</f>
        <v>0.81914893617021278</v>
      </c>
      <c r="O49" s="3"/>
      <c r="P49" s="2">
        <f>'Generalized Data'!M54</f>
        <v>20</v>
      </c>
      <c r="Q49" s="91">
        <v>2011</v>
      </c>
      <c r="R49" s="78"/>
      <c r="T49" s="78"/>
      <c r="U49" s="78"/>
      <c r="V49" s="78"/>
      <c r="W49" s="78"/>
    </row>
    <row r="50" spans="2:23" x14ac:dyDescent="0.2">
      <c r="D50" t="str">
        <f>$AF$7</f>
        <v>R_ES-SD-WatHeat</v>
      </c>
      <c r="H50" s="18"/>
      <c r="I50" s="4"/>
      <c r="K50" s="4"/>
      <c r="M50" s="3"/>
      <c r="N50" s="3"/>
      <c r="O50" s="3"/>
      <c r="P50" s="2"/>
      <c r="R50" s="78"/>
      <c r="T50" s="78"/>
      <c r="U50" s="78"/>
      <c r="V50" s="78"/>
      <c r="W50" s="78"/>
    </row>
    <row r="51" spans="2:23" x14ac:dyDescent="0.2">
      <c r="B51" t="str">
        <f>"R_ES-SH-SD_"&amp;RIGHT(C51,3)&amp;"01"</f>
        <v>R_ES-SH-SD_OIL01</v>
      </c>
      <c r="C51" t="s">
        <v>80</v>
      </c>
      <c r="D51" t="str">
        <f>$AF$6</f>
        <v>R_ES-SD-SpHeat</v>
      </c>
      <c r="F51">
        <f>Q51</f>
        <v>2011</v>
      </c>
      <c r="G51">
        <v>1</v>
      </c>
      <c r="H51" s="18">
        <f>'Generalized Data'!$C$3</f>
        <v>6.3071999999999999</v>
      </c>
      <c r="I51" s="4">
        <f>'Generalized Data'!C55</f>
        <v>8.4277861586285709</v>
      </c>
      <c r="K51" s="4">
        <f>'Generalized Data'!E55</f>
        <v>147.486257776</v>
      </c>
      <c r="M51" s="3">
        <f>'Generalized Data'!G55</f>
        <v>0.65</v>
      </c>
      <c r="N51" s="3"/>
      <c r="O51" s="3"/>
      <c r="P51" s="2">
        <f>'Generalized Data'!M55</f>
        <v>15</v>
      </c>
      <c r="Q51" s="91">
        <v>2011</v>
      </c>
      <c r="R51" s="78"/>
      <c r="T51" s="78"/>
      <c r="U51" s="78"/>
      <c r="V51" s="78"/>
      <c r="W51" s="78"/>
    </row>
    <row r="52" spans="2:23" x14ac:dyDescent="0.2">
      <c r="B52" t="str">
        <f>"R_ES-SH-SD_"&amp;RIGHT(C52,3)&amp;"02"</f>
        <v>R_ES-SH-SD_OIL02</v>
      </c>
      <c r="C52" t="s">
        <v>80</v>
      </c>
      <c r="D52" t="str">
        <f>$AF$6</f>
        <v>R_ES-SD-SpHeat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Data'!C56</f>
        <v>9.5</v>
      </c>
      <c r="K52" s="4">
        <f>'Generalized Data'!E56</f>
        <v>190</v>
      </c>
      <c r="M52" s="3">
        <f>'Generalized Data'!G56</f>
        <v>0.92</v>
      </c>
      <c r="N52" s="3"/>
      <c r="O52" s="3"/>
      <c r="P52" s="2">
        <f>'Generalized Data'!M56</f>
        <v>20</v>
      </c>
      <c r="Q52" s="91">
        <v>2011</v>
      </c>
      <c r="R52" s="78"/>
      <c r="T52" s="78"/>
      <c r="U52" s="78"/>
      <c r="V52" s="78"/>
      <c r="W52" s="78"/>
    </row>
    <row r="53" spans="2:23" x14ac:dyDescent="0.2">
      <c r="B53" t="str">
        <f>"R_ES-SH-SD_"&amp;RIGHT(C53,3)&amp;"03"</f>
        <v>R_ES-SH-SD_OIL03</v>
      </c>
      <c r="C53" t="s">
        <v>80</v>
      </c>
      <c r="D53" t="str">
        <f>$AF$6</f>
        <v>R_ES-SD-SpHeat</v>
      </c>
      <c r="F53">
        <f>Q53</f>
        <v>2011</v>
      </c>
      <c r="G53">
        <v>1</v>
      </c>
      <c r="H53" s="18">
        <f>'Generalized Data'!$C$4</f>
        <v>31.536000000000001</v>
      </c>
      <c r="I53" s="4">
        <f>'Generalized Data'!C57</f>
        <v>10.450000000000001</v>
      </c>
      <c r="K53" s="4">
        <f>'Generalized Data'!E57</f>
        <v>209</v>
      </c>
      <c r="M53" s="3">
        <f>'Generalized Data'!G57</f>
        <v>0.91</v>
      </c>
      <c r="N53" s="3">
        <f>'Generalized Data'!H57</f>
        <v>0.4175824175824176</v>
      </c>
      <c r="O53" s="3"/>
      <c r="P53" s="2">
        <f>'Generalized Data'!M57</f>
        <v>20</v>
      </c>
      <c r="Q53" s="91">
        <v>2011</v>
      </c>
      <c r="R53" s="78"/>
      <c r="T53" s="78"/>
      <c r="U53" s="78"/>
      <c r="V53" s="78"/>
      <c r="W53" s="78"/>
    </row>
    <row r="54" spans="2:23" x14ac:dyDescent="0.2">
      <c r="D54" t="str">
        <f>$AF$7</f>
        <v>R_ES-SD-WatHeat</v>
      </c>
      <c r="H54" s="18"/>
      <c r="I54" s="4"/>
      <c r="K54" s="4"/>
      <c r="M54" s="3"/>
      <c r="N54" s="3"/>
      <c r="O54" s="3"/>
      <c r="P54" s="2"/>
      <c r="R54" s="78"/>
      <c r="T54" s="78"/>
      <c r="U54" s="78"/>
      <c r="V54" s="78"/>
      <c r="W54" s="78"/>
    </row>
    <row r="55" spans="2:23" x14ac:dyDescent="0.2">
      <c r="B55" t="str">
        <f>"R_ES-SH-SD_"&amp;RIGHT(C55,3)&amp;"04"</f>
        <v>R_ES-SH-SD_OIL04</v>
      </c>
      <c r="C55" t="s">
        <v>80</v>
      </c>
      <c r="D55" t="str">
        <f>$AF$6</f>
        <v>R_ES-SD-SpHeat</v>
      </c>
      <c r="F55">
        <f>Q55</f>
        <v>2011</v>
      </c>
      <c r="G55">
        <v>1</v>
      </c>
      <c r="H55" s="18">
        <f>'Generalized Data'!$C$4</f>
        <v>31.536000000000001</v>
      </c>
      <c r="I55" s="4">
        <f>'Generalized Data'!C58</f>
        <v>15.7055976792</v>
      </c>
      <c r="K55" s="4">
        <f>'Generalized Data'!E58</f>
        <v>314.11195358399999</v>
      </c>
      <c r="M55" s="3">
        <f>'Generalized Data'!G58</f>
        <v>1</v>
      </c>
      <c r="N55" s="3">
        <f>'Generalized Data'!H58</f>
        <v>0.38</v>
      </c>
      <c r="O55" s="3"/>
      <c r="P55" s="2">
        <f>'Generalized Data'!M58</f>
        <v>20</v>
      </c>
      <c r="Q55" s="91">
        <v>2011</v>
      </c>
      <c r="R55" s="78"/>
      <c r="T55" s="78"/>
      <c r="U55" s="78"/>
      <c r="V55" s="78"/>
      <c r="W55" s="78"/>
    </row>
    <row r="56" spans="2:23" x14ac:dyDescent="0.2">
      <c r="D56" t="str">
        <f>$AF$7</f>
        <v>R_ES-SD-WatHeat</v>
      </c>
      <c r="H56" s="18"/>
      <c r="I56" s="4"/>
      <c r="K56" s="4"/>
      <c r="M56" s="3"/>
      <c r="N56" s="3"/>
      <c r="O56" s="3"/>
      <c r="P56" s="2"/>
      <c r="R56" s="78"/>
      <c r="T56" s="78"/>
      <c r="U56" s="78"/>
      <c r="V56" s="78"/>
      <c r="W56" s="78"/>
    </row>
    <row r="57" spans="2:23" x14ac:dyDescent="0.2">
      <c r="B57" t="str">
        <f>"R_ES-SH-SD_"&amp;RIGHT(C57,3)&amp;"08"</f>
        <v>R_ES-SH-SD_ELC08</v>
      </c>
      <c r="C57" t="s">
        <v>81</v>
      </c>
      <c r="D57" t="str">
        <f>$AF$6</f>
        <v>R_ES-SD-SpHeat</v>
      </c>
      <c r="F57">
        <f>Q57</f>
        <v>2011</v>
      </c>
      <c r="G57">
        <v>1</v>
      </c>
      <c r="H57" s="18">
        <f>'Generalized Data'!$C$4</f>
        <v>31.536000000000001</v>
      </c>
      <c r="I57" s="4">
        <f>'Generalized Data'!C59</f>
        <v>46.053599999999996</v>
      </c>
      <c r="K57" s="4">
        <f>'Generalized Data'!E59</f>
        <v>2302.6799999999998</v>
      </c>
      <c r="M57" s="3">
        <f>'Generalized Data'!G59</f>
        <v>1</v>
      </c>
      <c r="N57" s="3">
        <f>'Generalized Data'!H59</f>
        <v>0.88</v>
      </c>
      <c r="O57" s="3">
        <f>'Generalized Data'!J59</f>
        <v>0.68</v>
      </c>
      <c r="P57" s="2">
        <f>'Generalized Data'!M59</f>
        <v>20</v>
      </c>
      <c r="Q57" s="91">
        <v>2011</v>
      </c>
      <c r="R57" s="78"/>
      <c r="T57" s="78"/>
      <c r="U57" s="78"/>
      <c r="V57" s="78"/>
      <c r="W57" s="78"/>
    </row>
    <row r="58" spans="2:23" x14ac:dyDescent="0.2">
      <c r="C58" t="s">
        <v>86</v>
      </c>
      <c r="D58" t="str">
        <f>$AF$7</f>
        <v>R_ES-SD-WatHeat</v>
      </c>
      <c r="H58" s="18"/>
      <c r="I58" s="4"/>
      <c r="K58" s="4"/>
      <c r="M58" s="3"/>
      <c r="N58" s="3"/>
      <c r="O58" s="3"/>
      <c r="P58" s="2"/>
      <c r="R58" s="78"/>
      <c r="T58" s="78"/>
      <c r="U58" s="78"/>
      <c r="V58" s="78"/>
      <c r="W58" s="78"/>
    </row>
    <row r="59" spans="2:23" x14ac:dyDescent="0.2">
      <c r="B59" t="str">
        <f>"R_ES-SH-SD_"&amp;RIGHT(C59,3)&amp;"05"</f>
        <v>R_ES-SH-SD_OIL05</v>
      </c>
      <c r="C59" t="s">
        <v>80</v>
      </c>
      <c r="D59" t="str">
        <f>$AF$6</f>
        <v>R_ES-SD-SpHeat</v>
      </c>
      <c r="F59">
        <f>Q59</f>
        <v>2011</v>
      </c>
      <c r="G59">
        <v>1</v>
      </c>
      <c r="H59" s="18">
        <f>'Generalized Data'!$C$4</f>
        <v>31.536000000000001</v>
      </c>
      <c r="I59" s="4">
        <f>'Generalized Data'!C60</f>
        <v>47.64</v>
      </c>
      <c r="K59" s="4">
        <f>'Generalized Data'!E60</f>
        <v>2382</v>
      </c>
      <c r="M59" s="3">
        <f>'Generalized Data'!G60</f>
        <v>1</v>
      </c>
      <c r="N59" s="3">
        <f>'Generalized Data'!H60</f>
        <v>0.56842105263157905</v>
      </c>
      <c r="O59" s="3">
        <f>'Generalized Data'!J60</f>
        <v>0.71</v>
      </c>
      <c r="P59" s="2">
        <f>'Generalized Data'!M60</f>
        <v>20</v>
      </c>
      <c r="Q59" s="91">
        <v>2011</v>
      </c>
      <c r="R59" s="78"/>
      <c r="T59" s="78"/>
      <c r="U59" s="78"/>
      <c r="V59" s="78"/>
      <c r="W59" s="78"/>
    </row>
    <row r="60" spans="2:23" x14ac:dyDescent="0.2">
      <c r="C60" t="s">
        <v>86</v>
      </c>
      <c r="D60" t="str">
        <f>$AF$7</f>
        <v>R_ES-SD-WatHeat</v>
      </c>
      <c r="H60" s="18"/>
      <c r="I60" s="4"/>
      <c r="K60" s="4"/>
      <c r="M60" s="3"/>
      <c r="N60" s="3"/>
      <c r="O60" s="3"/>
      <c r="P60" s="2"/>
      <c r="R60" s="78"/>
      <c r="T60" s="78"/>
      <c r="U60" s="78"/>
      <c r="V60" s="78"/>
      <c r="W60" s="78"/>
    </row>
    <row r="61" spans="2:23" x14ac:dyDescent="0.2">
      <c r="B61" t="str">
        <f>"R_ES-SH-SD_"&amp;RIGHT(C61,3)&amp;"08"</f>
        <v>R_ES-SH-SD_GAS08</v>
      </c>
      <c r="C61" t="s">
        <v>83</v>
      </c>
      <c r="D61" t="str">
        <f>$AF$6</f>
        <v>R_ES-SD-SpHeat</v>
      </c>
      <c r="F61">
        <f>Q61</f>
        <v>2011</v>
      </c>
      <c r="G61">
        <v>1</v>
      </c>
      <c r="H61" s="18">
        <f>'Generalized Data'!$C$4</f>
        <v>31.536000000000001</v>
      </c>
      <c r="I61" s="4">
        <f>'Generalized Data'!C61</f>
        <v>47.64</v>
      </c>
      <c r="K61" s="4">
        <f>'Generalized Data'!E61</f>
        <v>2382</v>
      </c>
      <c r="M61" s="3">
        <f>'Generalized Data'!G61</f>
        <v>1</v>
      </c>
      <c r="N61" s="3">
        <f>'Generalized Data'!H61</f>
        <v>0.56842105263157905</v>
      </c>
      <c r="O61" s="3">
        <f>'Generalized Data'!J61</f>
        <v>0.68</v>
      </c>
      <c r="P61" s="2">
        <f>'Generalized Data'!M61</f>
        <v>20</v>
      </c>
      <c r="Q61" s="91">
        <v>2011</v>
      </c>
      <c r="R61" s="78"/>
      <c r="T61" s="78"/>
      <c r="U61" s="78"/>
      <c r="V61" s="78"/>
      <c r="W61" s="78"/>
    </row>
    <row r="62" spans="2:23" x14ac:dyDescent="0.2">
      <c r="C62" t="s">
        <v>86</v>
      </c>
      <c r="D62" t="str">
        <f>$AF$7</f>
        <v>R_ES-SD-WatHeat</v>
      </c>
      <c r="H62" s="18"/>
      <c r="I62" s="4"/>
      <c r="K62" s="4"/>
      <c r="M62" s="3"/>
      <c r="N62" s="3"/>
      <c r="O62" s="3"/>
      <c r="P62" s="2"/>
      <c r="R62" s="78"/>
      <c r="T62" s="78"/>
      <c r="U62" s="78"/>
      <c r="V62" s="78"/>
      <c r="W62" s="78"/>
    </row>
    <row r="63" spans="2:23" x14ac:dyDescent="0.2">
      <c r="B63" t="str">
        <f>"R_ES-SH-SD_"&amp;RIGHT(C63,3)&amp;"03"</f>
        <v>R_ES-SH-SD_BIO03</v>
      </c>
      <c r="C63" t="s">
        <v>79</v>
      </c>
      <c r="D63" t="str">
        <f>$AF$6</f>
        <v>R_ES-SD-SpHeat</v>
      </c>
      <c r="F63">
        <f>Q63</f>
        <v>2011</v>
      </c>
      <c r="G63">
        <v>1</v>
      </c>
      <c r="H63" s="18">
        <f>'Generalized Data'!$C$4</f>
        <v>31.536000000000001</v>
      </c>
      <c r="I63" s="4">
        <f>'Generalized Data'!C62</f>
        <v>24.35</v>
      </c>
      <c r="K63" s="4">
        <f>'Generalized Data'!E62</f>
        <v>487</v>
      </c>
      <c r="M63" s="3">
        <f>'Generalized Data'!G62</f>
        <v>0.85</v>
      </c>
      <c r="N63" s="3">
        <f>'Generalized Data'!H62</f>
        <v>0.4175824175824176</v>
      </c>
      <c r="O63" s="3"/>
      <c r="P63" s="2">
        <f>'Generalized Data'!M62</f>
        <v>20</v>
      </c>
      <c r="Q63" s="91">
        <v>2011</v>
      </c>
      <c r="R63" s="78"/>
      <c r="T63" s="78"/>
      <c r="U63" s="78"/>
      <c r="V63" s="78"/>
      <c r="W63" s="78"/>
    </row>
    <row r="64" spans="2:23" x14ac:dyDescent="0.2">
      <c r="D64" t="str">
        <f>$AF$7</f>
        <v>R_ES-SD-WatHeat</v>
      </c>
      <c r="H64" s="18"/>
      <c r="I64" s="4"/>
      <c r="K64" s="4"/>
      <c r="M64" s="3"/>
      <c r="N64" s="3"/>
      <c r="O64" s="3"/>
      <c r="R64" s="2"/>
    </row>
    <row r="65" spans="1:23" x14ac:dyDescent="0.2">
      <c r="H65" s="18"/>
      <c r="I65" s="4"/>
      <c r="J65" s="4"/>
      <c r="K65" s="3"/>
      <c r="L65" s="3"/>
      <c r="M65" s="3"/>
      <c r="Q65" s="2"/>
    </row>
    <row r="66" spans="1:23" x14ac:dyDescent="0.2">
      <c r="H66" s="18"/>
      <c r="I66" s="4"/>
      <c r="J66" s="4"/>
      <c r="K66" s="3"/>
      <c r="L66" s="3"/>
      <c r="M66" s="3"/>
      <c r="Q66" s="2"/>
    </row>
    <row r="67" spans="1:23" x14ac:dyDescent="0.2">
      <c r="A67" s="6" t="s">
        <v>278</v>
      </c>
      <c r="G67" t="s">
        <v>230</v>
      </c>
    </row>
    <row r="68" spans="1:23" x14ac:dyDescent="0.2">
      <c r="A68" s="6" t="s">
        <v>438</v>
      </c>
    </row>
    <row r="69" spans="1:23" x14ac:dyDescent="0.2">
      <c r="B69" s="1"/>
      <c r="E69" s="1" t="s">
        <v>15</v>
      </c>
      <c r="G69" s="2"/>
      <c r="H69" s="5"/>
      <c r="I69" s="4"/>
      <c r="J69" s="3"/>
      <c r="K69" s="3"/>
      <c r="L69" s="3"/>
    </row>
    <row r="70" spans="1:23" ht="39" thickBot="1" x14ac:dyDescent="0.25">
      <c r="A70" s="7" t="s">
        <v>16</v>
      </c>
      <c r="B70" s="7" t="s">
        <v>17</v>
      </c>
      <c r="C70" s="8" t="s">
        <v>19</v>
      </c>
      <c r="D70" s="8" t="s">
        <v>20</v>
      </c>
      <c r="E70" s="8" t="s">
        <v>21</v>
      </c>
      <c r="F70" s="9" t="s">
        <v>463</v>
      </c>
      <c r="G70" s="10" t="s">
        <v>23</v>
      </c>
      <c r="H70" s="12" t="s">
        <v>24</v>
      </c>
      <c r="I70" s="13" t="s">
        <v>25</v>
      </c>
      <c r="J70" s="11" t="s">
        <v>258</v>
      </c>
      <c r="K70" s="9" t="str">
        <f>CONCATENATE("CEFF~",AF7)</f>
        <v>CEFF~R_ES-SD-WatHeat</v>
      </c>
      <c r="L70" s="9" t="str">
        <f>CONCATENATE("CEFF~",AF8)</f>
        <v>CEFF~R_ES-SD-SpCool</v>
      </c>
      <c r="M70" s="10" t="s">
        <v>78</v>
      </c>
      <c r="N70" s="10" t="s">
        <v>77</v>
      </c>
      <c r="O70" s="10" t="s">
        <v>276</v>
      </c>
      <c r="P70" s="10" t="s">
        <v>26</v>
      </c>
      <c r="Q70" s="10" t="s">
        <v>29</v>
      </c>
      <c r="R70" s="10"/>
      <c r="S70" s="10"/>
      <c r="T70" s="10"/>
      <c r="U70" s="10"/>
      <c r="V70" s="10"/>
      <c r="W70" s="10"/>
    </row>
    <row r="71" spans="1:23" x14ac:dyDescent="0.2">
      <c r="B71" t="str">
        <f>"R_ES-WH-SD_"&amp;RIGHT(C71,3)&amp;"01"</f>
        <v>R_ES-WH-SD_BIO01</v>
      </c>
      <c r="C71" t="s">
        <v>79</v>
      </c>
      <c r="D71" t="str">
        <f>$AF$7</f>
        <v>R_ES-SD-WatHeat</v>
      </c>
      <c r="E71">
        <f>Q71</f>
        <v>2011</v>
      </c>
      <c r="F71">
        <v>1</v>
      </c>
      <c r="G71" s="18">
        <f>'Generalized Data'!$C$4</f>
        <v>31.536000000000001</v>
      </c>
      <c r="H71" s="4">
        <f>'Generalized Data'!C64</f>
        <v>9.2319642272000006</v>
      </c>
      <c r="I71" s="4">
        <f>'Generalized Data'!E64</f>
        <v>184.63928454399999</v>
      </c>
      <c r="J71" s="4">
        <f>'Generalized Data'!G64</f>
        <v>0.5</v>
      </c>
      <c r="K71" s="3"/>
      <c r="L71" s="3"/>
      <c r="M71" s="3"/>
      <c r="N71" s="3"/>
      <c r="O71" s="3"/>
      <c r="P71" s="2">
        <f>'Generalized Data'!M64</f>
        <v>20</v>
      </c>
      <c r="Q71" s="91">
        <v>2011</v>
      </c>
    </row>
    <row r="72" spans="1:23" x14ac:dyDescent="0.2">
      <c r="B72" t="str">
        <f>"R_ES-WH-SD_"&amp;RIGHT(C72,3)&amp;"01"</f>
        <v>R_ES-WH-SD_ELC01</v>
      </c>
      <c r="C72" t="s">
        <v>81</v>
      </c>
      <c r="D72" t="str">
        <f>$AF$7</f>
        <v>R_ES-SD-WatHeat</v>
      </c>
      <c r="E72">
        <f>Q72</f>
        <v>2011</v>
      </c>
      <c r="F72">
        <v>1</v>
      </c>
      <c r="G72" s="18">
        <f>'Generalized Data'!$C$4</f>
        <v>31.536000000000001</v>
      </c>
      <c r="H72" s="4">
        <f>'Generalized Data'!C65</f>
        <v>1.4849999999999999</v>
      </c>
      <c r="I72" s="4">
        <f>'Generalized Data'!E65</f>
        <v>135</v>
      </c>
      <c r="J72" s="4">
        <f>'Generalized Data'!G65</f>
        <v>1</v>
      </c>
      <c r="K72" s="3"/>
      <c r="L72" s="3"/>
      <c r="M72" s="3"/>
      <c r="N72" s="3"/>
      <c r="O72" s="3"/>
      <c r="P72" s="2">
        <f>'Generalized Data'!M65</f>
        <v>15</v>
      </c>
      <c r="Q72" s="91">
        <v>2011</v>
      </c>
    </row>
    <row r="73" spans="1:23" x14ac:dyDescent="0.2">
      <c r="B73" t="str">
        <f>"R_ES-WH-SD_"&amp;RIGHT(C73,3)&amp;"02"</f>
        <v>R_ES-WH-SD_ELC02</v>
      </c>
      <c r="C73" t="s">
        <v>81</v>
      </c>
      <c r="D73" t="str">
        <f>$AF$7</f>
        <v>R_ES-SD-WatHeat</v>
      </c>
      <c r="E73">
        <f>Q73</f>
        <v>2011</v>
      </c>
      <c r="F73">
        <v>1</v>
      </c>
      <c r="G73" s="18">
        <f>'Generalized Data'!$C$4</f>
        <v>31.536000000000001</v>
      </c>
      <c r="H73" s="4">
        <f>'Generalized Data'!C66</f>
        <v>101.7</v>
      </c>
      <c r="I73" s="4">
        <f>'Generalized Data'!E66</f>
        <v>2034</v>
      </c>
      <c r="J73" s="4">
        <f>'Generalized Data'!G66</f>
        <v>1</v>
      </c>
      <c r="K73" s="4"/>
      <c r="L73" s="4"/>
      <c r="N73" s="4">
        <f>'Generalized Data'!J66</f>
        <v>0.57264957264957261</v>
      </c>
      <c r="O73" s="4"/>
      <c r="P73" s="2">
        <f>'Generalized Data'!M66</f>
        <v>15</v>
      </c>
      <c r="Q73" s="91">
        <v>2011</v>
      </c>
    </row>
    <row r="74" spans="1:23" x14ac:dyDescent="0.2">
      <c r="C74" t="s">
        <v>82</v>
      </c>
      <c r="G74" s="18"/>
      <c r="H74" s="4"/>
      <c r="I74" s="4"/>
      <c r="J74" s="4"/>
      <c r="K74" s="3"/>
      <c r="L74" s="3"/>
      <c r="M74" s="3"/>
      <c r="N74" s="3"/>
      <c r="O74" s="3"/>
      <c r="P74" s="2"/>
    </row>
    <row r="75" spans="1:23" x14ac:dyDescent="0.2">
      <c r="B75" t="str">
        <f>"R_ES-WH-SD_"&amp;RIGHT(C75,3)&amp;"01"</f>
        <v>R_ES-WH-SD_GAS01</v>
      </c>
      <c r="C75" t="s">
        <v>83</v>
      </c>
      <c r="D75" t="str">
        <f>$AF$7</f>
        <v>R_ES-SD-WatHeat</v>
      </c>
      <c r="E75">
        <f>Q75</f>
        <v>2011</v>
      </c>
      <c r="F75">
        <v>1</v>
      </c>
      <c r="G75" s="18">
        <f>'Generalized Data'!$C$4</f>
        <v>31.536000000000001</v>
      </c>
      <c r="H75" s="4">
        <f>'Generalized Data'!C67</f>
        <v>7.65</v>
      </c>
      <c r="I75" s="4">
        <f>'Generalized Data'!E67</f>
        <v>153</v>
      </c>
      <c r="J75" s="4">
        <f>'Generalized Data'!G67</f>
        <v>0.76</v>
      </c>
      <c r="K75" s="4"/>
      <c r="L75" s="4"/>
      <c r="M75" s="4"/>
      <c r="N75" s="4"/>
      <c r="O75" s="3"/>
      <c r="P75" s="2">
        <f>'Generalized Data'!M67</f>
        <v>15</v>
      </c>
      <c r="Q75" s="91">
        <v>2011</v>
      </c>
    </row>
    <row r="76" spans="1:23" x14ac:dyDescent="0.2">
      <c r="B76" t="str">
        <f>"R_ES-WH-SD_"&amp;RIGHT(C76,3)&amp;"01"</f>
        <v>R_ES-WH-SD_GEO01</v>
      </c>
      <c r="C76" t="s">
        <v>84</v>
      </c>
      <c r="D76" t="str">
        <f>$AF$7</f>
        <v>R_ES-SD-WatHeat</v>
      </c>
      <c r="E76">
        <f>Q76</f>
        <v>2011</v>
      </c>
      <c r="F76">
        <v>1</v>
      </c>
      <c r="G76" s="18">
        <f>'Generalized Data'!$C$4</f>
        <v>31.536000000000001</v>
      </c>
      <c r="H76" s="4">
        <f>'Generalized Data'!C68</f>
        <v>20.265287327999999</v>
      </c>
      <c r="I76" s="4">
        <f>'Generalized Data'!E68</f>
        <v>1031.2779551359999</v>
      </c>
      <c r="J76" s="4">
        <f>'Generalized Data'!G68</f>
        <v>1</v>
      </c>
      <c r="K76" s="4"/>
      <c r="L76" s="4"/>
      <c r="M76" s="4"/>
      <c r="N76" s="4"/>
      <c r="O76" s="4"/>
      <c r="P76" s="2">
        <f>'Generalized Data'!M68</f>
        <v>20</v>
      </c>
      <c r="Q76" s="91">
        <v>2011</v>
      </c>
    </row>
    <row r="77" spans="1:23" x14ac:dyDescent="0.2">
      <c r="B77" t="str">
        <f>"R_ES-WH-SD_"&amp;RIGHT(C77,3)&amp;"01"</f>
        <v>R_ES-WH-SD_LPG01</v>
      </c>
      <c r="C77" t="s">
        <v>85</v>
      </c>
      <c r="D77" t="str">
        <f>$AF$7</f>
        <v>R_ES-SD-WatHeat</v>
      </c>
      <c r="E77">
        <f>Q77</f>
        <v>2011</v>
      </c>
      <c r="F77">
        <v>1</v>
      </c>
      <c r="G77" s="18">
        <f>'Generalized Data'!$C$4</f>
        <v>31.536000000000001</v>
      </c>
      <c r="H77" s="4">
        <f>'Generalized Data'!C69</f>
        <v>3.0397930992000002</v>
      </c>
      <c r="I77" s="4">
        <f>'Generalized Data'!E69</f>
        <v>60.795861983999998</v>
      </c>
      <c r="J77" s="4">
        <f>'Generalized Data'!G69</f>
        <v>0.73</v>
      </c>
      <c r="K77" s="3"/>
      <c r="L77" s="3"/>
      <c r="M77" s="3"/>
      <c r="N77" s="3"/>
      <c r="O77" s="3"/>
      <c r="P77" s="2">
        <f>'Generalized Data'!M69</f>
        <v>15</v>
      </c>
      <c r="Q77" s="91">
        <v>2011</v>
      </c>
    </row>
    <row r="78" spans="1:23" x14ac:dyDescent="0.2">
      <c r="B78" t="str">
        <f>"R_ES-WH-SD_"&amp;RIGHT(C78,3)&amp;"01"</f>
        <v>R_ES-WH-SD_OIL01</v>
      </c>
      <c r="C78" t="s">
        <v>80</v>
      </c>
      <c r="D78" t="str">
        <f>$AF$7</f>
        <v>R_ES-SD-WatHeat</v>
      </c>
      <c r="E78">
        <f>Q78</f>
        <v>2011</v>
      </c>
      <c r="F78">
        <v>1</v>
      </c>
      <c r="G78" s="18">
        <f>'Generalized Data'!$C$4</f>
        <v>31.536000000000001</v>
      </c>
      <c r="H78" s="4">
        <f>'Generalized Data'!C70</f>
        <v>8.5</v>
      </c>
      <c r="I78" s="4">
        <f>'Generalized Data'!E70</f>
        <v>170</v>
      </c>
      <c r="J78" s="4">
        <f>'Generalized Data'!G70</f>
        <v>0.7</v>
      </c>
      <c r="K78" s="3"/>
      <c r="L78" s="3"/>
      <c r="M78" s="3"/>
      <c r="N78" s="3"/>
      <c r="O78" s="3"/>
      <c r="P78" s="2">
        <f>'Generalized Data'!M70</f>
        <v>15</v>
      </c>
      <c r="Q78" s="91">
        <v>2011</v>
      </c>
    </row>
    <row r="79" spans="1:23" x14ac:dyDescent="0.2">
      <c r="B79" t="str">
        <f>"R_ES-WH-SD_"&amp;RIGHT(C79,3)&amp;"03"</f>
        <v>R_ES-WH-SD_ELC03</v>
      </c>
      <c r="C79" t="s">
        <v>81</v>
      </c>
      <c r="D79" t="str">
        <f>$AF$7</f>
        <v>R_ES-SD-WatHeat</v>
      </c>
      <c r="E79">
        <f>Q79</f>
        <v>2011</v>
      </c>
      <c r="F79">
        <v>1</v>
      </c>
      <c r="G79" s="18">
        <f>'Generalized Data'!$C$4</f>
        <v>31.536000000000001</v>
      </c>
      <c r="H79" s="4">
        <f>'Generalized Data'!C71</f>
        <v>41.26</v>
      </c>
      <c r="I79" s="4">
        <f>'Generalized Data'!E71</f>
        <v>2063</v>
      </c>
      <c r="J79" s="50">
        <f>'Generalized Data'!G71</f>
        <v>1</v>
      </c>
      <c r="K79" s="4"/>
      <c r="L79" s="4"/>
      <c r="M79" s="4">
        <f>'Generalized Data'!J71</f>
        <v>0.5</v>
      </c>
      <c r="N79" s="4"/>
      <c r="O79" s="4"/>
      <c r="P79" s="2">
        <f>'Generalized Data'!M71</f>
        <v>15</v>
      </c>
      <c r="Q79" s="91">
        <v>2011</v>
      </c>
    </row>
    <row r="80" spans="1:23" x14ac:dyDescent="0.2">
      <c r="C80" t="s">
        <v>86</v>
      </c>
      <c r="E80">
        <v>2020</v>
      </c>
      <c r="G80" s="18"/>
      <c r="H80" s="4"/>
      <c r="I80" s="4">
        <f>'Generalized Data'!K71</f>
        <v>1358</v>
      </c>
      <c r="J80" s="4"/>
      <c r="K80" s="3"/>
      <c r="L80" s="3"/>
      <c r="M80" s="3"/>
      <c r="N80" s="3"/>
      <c r="O80" s="3"/>
      <c r="P80" s="2"/>
    </row>
    <row r="81" spans="1:23" x14ac:dyDescent="0.2">
      <c r="B81" t="str">
        <f>"R_ES-WH-SD_"&amp;RIGHT(C81,3)&amp;"02"</f>
        <v>R_ES-WH-SD_OIL02</v>
      </c>
      <c r="C81" t="s">
        <v>80</v>
      </c>
      <c r="D81" t="str">
        <f>$AF$7</f>
        <v>R_ES-SD-WatHeat</v>
      </c>
      <c r="E81">
        <f>Q81</f>
        <v>2011</v>
      </c>
      <c r="F81">
        <v>1</v>
      </c>
      <c r="G81" s="18">
        <f>'Generalized Data'!$C$4</f>
        <v>31.536000000000001</v>
      </c>
      <c r="H81" s="4">
        <f>'Generalized Data'!C72</f>
        <v>41.62</v>
      </c>
      <c r="I81" s="4">
        <f>'Generalized Data'!E72</f>
        <v>2081</v>
      </c>
      <c r="J81" s="4">
        <f>'Generalized Data'!G72</f>
        <v>1</v>
      </c>
      <c r="K81" s="4"/>
      <c r="L81" s="4"/>
      <c r="M81" s="4">
        <f>'Generalized Data'!J72</f>
        <v>0.5</v>
      </c>
      <c r="N81" s="4"/>
      <c r="O81" s="3"/>
      <c r="P81" s="2">
        <f>'Generalized Data'!M72</f>
        <v>15</v>
      </c>
      <c r="Q81" s="91">
        <v>2011</v>
      </c>
    </row>
    <row r="82" spans="1:23" x14ac:dyDescent="0.2">
      <c r="C82" t="s">
        <v>86</v>
      </c>
      <c r="E82">
        <v>2020</v>
      </c>
      <c r="G82" s="18"/>
      <c r="H82" s="4"/>
      <c r="I82" s="4">
        <f>'Generalized Data'!K72</f>
        <v>733</v>
      </c>
      <c r="J82" s="4"/>
      <c r="K82" s="3"/>
      <c r="L82" s="3"/>
      <c r="M82" s="3"/>
      <c r="N82" s="3"/>
      <c r="O82" s="3"/>
      <c r="P82" s="2"/>
    </row>
    <row r="83" spans="1:23" x14ac:dyDescent="0.2">
      <c r="B83" t="str">
        <f>"R_ES-WH-SD_"&amp;RIGHT(C83,3)&amp;"02"</f>
        <v>R_ES-WH-SD_GAS02</v>
      </c>
      <c r="C83" t="s">
        <v>83</v>
      </c>
      <c r="D83" t="str">
        <f>$AF$7</f>
        <v>R_ES-SD-WatHeat</v>
      </c>
      <c r="E83">
        <f>Q83</f>
        <v>2011</v>
      </c>
      <c r="F83">
        <v>1</v>
      </c>
      <c r="G83" s="18">
        <f>'Generalized Data'!$C$4</f>
        <v>31.536000000000001</v>
      </c>
      <c r="H83" s="4">
        <f>'Generalized Data'!C73</f>
        <v>41.62</v>
      </c>
      <c r="I83" s="4">
        <f>'Generalized Data'!E73</f>
        <v>2081</v>
      </c>
      <c r="J83" s="4">
        <f>'Generalized Data'!G73</f>
        <v>1</v>
      </c>
      <c r="K83" s="4"/>
      <c r="L83" s="4"/>
      <c r="M83" s="4">
        <f>'Generalized Data'!J73</f>
        <v>0.5</v>
      </c>
      <c r="N83" s="4"/>
      <c r="O83" s="4"/>
      <c r="P83" s="2">
        <f>'Generalized Data'!M73</f>
        <v>15</v>
      </c>
      <c r="Q83" s="91">
        <v>2011</v>
      </c>
    </row>
    <row r="84" spans="1:23" x14ac:dyDescent="0.2">
      <c r="C84" t="s">
        <v>86</v>
      </c>
      <c r="E84">
        <v>2020</v>
      </c>
      <c r="G84" s="18"/>
      <c r="H84" s="4"/>
      <c r="I84" s="4">
        <f>'Generalized Data'!K73</f>
        <v>834</v>
      </c>
      <c r="J84" s="4"/>
      <c r="K84" s="3"/>
      <c r="L84" s="3"/>
      <c r="M84" s="3"/>
      <c r="N84" s="3"/>
      <c r="O84" s="3"/>
      <c r="P84" s="2"/>
    </row>
    <row r="85" spans="1:23" x14ac:dyDescent="0.2">
      <c r="G85" s="18"/>
      <c r="H85" s="4"/>
      <c r="I85" s="4"/>
      <c r="J85" s="4"/>
      <c r="K85" s="3"/>
      <c r="L85" s="3"/>
      <c r="M85" s="3"/>
      <c r="N85" s="3"/>
      <c r="O85" s="3"/>
      <c r="P85" s="2"/>
    </row>
    <row r="86" spans="1:23" x14ac:dyDescent="0.2">
      <c r="G86" s="18"/>
      <c r="H86" s="4"/>
      <c r="I86" s="4"/>
      <c r="J86" s="4"/>
      <c r="K86" s="3"/>
      <c r="L86" s="3"/>
      <c r="M86" s="3"/>
      <c r="N86" s="3"/>
      <c r="O86" s="3"/>
      <c r="P86" s="2"/>
    </row>
    <row r="87" spans="1:23" x14ac:dyDescent="0.2">
      <c r="G87" s="18"/>
      <c r="H87" s="4"/>
      <c r="I87" s="4"/>
      <c r="J87" s="4"/>
      <c r="K87" s="3"/>
      <c r="L87" s="3"/>
      <c r="M87" s="3"/>
      <c r="N87" s="3"/>
      <c r="O87" s="3"/>
      <c r="P87" s="2"/>
    </row>
    <row r="88" spans="1:23" x14ac:dyDescent="0.2">
      <c r="A88" s="6" t="s">
        <v>279</v>
      </c>
      <c r="G88" t="s">
        <v>230</v>
      </c>
    </row>
    <row r="89" spans="1:23" x14ac:dyDescent="0.2">
      <c r="A89" s="6" t="s">
        <v>438</v>
      </c>
    </row>
    <row r="90" spans="1:23" x14ac:dyDescent="0.2">
      <c r="B90" s="1"/>
      <c r="E90" s="1" t="s">
        <v>15</v>
      </c>
      <c r="G90" s="2"/>
      <c r="H90" s="5"/>
      <c r="I90" s="4"/>
      <c r="J90" s="3"/>
      <c r="K90" s="3"/>
      <c r="L90" s="3"/>
    </row>
    <row r="91" spans="1:23" ht="39" thickBot="1" x14ac:dyDescent="0.25">
      <c r="A91" s="7" t="s">
        <v>16</v>
      </c>
      <c r="B91" s="7" t="s">
        <v>17</v>
      </c>
      <c r="C91" s="8" t="s">
        <v>19</v>
      </c>
      <c r="D91" s="8" t="s">
        <v>20</v>
      </c>
      <c r="E91" s="8" t="s">
        <v>21</v>
      </c>
      <c r="F91" s="9" t="s">
        <v>463</v>
      </c>
      <c r="G91" s="10" t="s">
        <v>23</v>
      </c>
      <c r="H91" s="12" t="s">
        <v>24</v>
      </c>
      <c r="I91" s="13" t="s">
        <v>25</v>
      </c>
      <c r="J91" s="11" t="s">
        <v>258</v>
      </c>
      <c r="K91" s="9" t="str">
        <f>CONCATENATE("CEFF~",AF7)</f>
        <v>CEFF~R_ES-SD-WatHeat</v>
      </c>
      <c r="L91" s="9" t="str">
        <f>CONCATENATE("CEFF~",AF8)</f>
        <v>CEFF~R_ES-SD-SpCool</v>
      </c>
      <c r="M91" s="10" t="s">
        <v>78</v>
      </c>
      <c r="N91" s="10" t="s">
        <v>77</v>
      </c>
      <c r="O91" s="10" t="s">
        <v>276</v>
      </c>
      <c r="P91" s="10" t="s">
        <v>26</v>
      </c>
      <c r="Q91" s="10" t="s">
        <v>29</v>
      </c>
      <c r="R91" s="10"/>
      <c r="S91" s="10"/>
      <c r="T91" s="10"/>
      <c r="U91" s="10"/>
      <c r="V91" s="10"/>
      <c r="W91" s="10"/>
    </row>
    <row r="92" spans="1:23" x14ac:dyDescent="0.2">
      <c r="B92" t="str">
        <f>"R_ES-SC-SD_"&amp;RIGHT(C92,3)&amp;"01"</f>
        <v>R_ES-SC-SD_ELC01</v>
      </c>
      <c r="C92" t="s">
        <v>81</v>
      </c>
      <c r="D92" t="str">
        <f>$AF$8</f>
        <v>R_ES-SD-SpCool</v>
      </c>
      <c r="E92">
        <f t="shared" ref="E92:E99" si="2">Q92</f>
        <v>2011</v>
      </c>
      <c r="F92">
        <v>1</v>
      </c>
      <c r="G92" s="18">
        <f>'Generalized Data'!$C$3</f>
        <v>6.3071999999999999</v>
      </c>
      <c r="H92" s="4">
        <f>'Generalized Data'!C76</f>
        <v>24.05</v>
      </c>
      <c r="I92" s="4">
        <f>'Generalized Data'!E76</f>
        <v>481</v>
      </c>
      <c r="J92" s="4">
        <f>'Generalized Data'!G76</f>
        <v>2.0249999999999999</v>
      </c>
      <c r="K92" s="4"/>
      <c r="L92" s="4"/>
      <c r="M92" s="4"/>
      <c r="N92" s="4"/>
      <c r="O92" s="4"/>
      <c r="P92" s="2">
        <f>'Generalized Data'!M76</f>
        <v>10</v>
      </c>
      <c r="Q92" s="91">
        <v>2011</v>
      </c>
    </row>
    <row r="93" spans="1:23" x14ac:dyDescent="0.2">
      <c r="B93" t="str">
        <f>"R_ES-SC-SD_"&amp;RIGHT(C93,3)&amp;"02"</f>
        <v>R_ES-SC-SD_ELC02</v>
      </c>
      <c r="C93" t="s">
        <v>81</v>
      </c>
      <c r="D93" t="str">
        <f t="shared" ref="D93:D99" si="3">$AF$8</f>
        <v>R_ES-SD-SpCool</v>
      </c>
      <c r="E93">
        <f t="shared" si="2"/>
        <v>2011</v>
      </c>
      <c r="F93">
        <v>1</v>
      </c>
      <c r="G93" s="18">
        <f>'Generalized Data'!$C$3</f>
        <v>6.3071999999999999</v>
      </c>
      <c r="H93" s="4">
        <f>'Generalized Data'!C77</f>
        <v>7.5994827479999998</v>
      </c>
      <c r="I93" s="4">
        <f>'Generalized Data'!E77</f>
        <v>151.98965496</v>
      </c>
      <c r="J93" s="4">
        <f>'Generalized Data'!G77</f>
        <v>0.4</v>
      </c>
      <c r="K93" s="4"/>
      <c r="L93" s="4"/>
      <c r="M93" s="4"/>
      <c r="N93" s="4"/>
      <c r="O93" s="4"/>
      <c r="P93" s="2">
        <f>'Generalized Data'!M77</f>
        <v>10</v>
      </c>
      <c r="Q93" s="91">
        <v>2011</v>
      </c>
    </row>
    <row r="94" spans="1:23" x14ac:dyDescent="0.2">
      <c r="B94" t="str">
        <f>"R_ES-SC-SD_"&amp;RIGHT(C94,3)&amp;"03"</f>
        <v>R_ES-SC-SD_ELC03</v>
      </c>
      <c r="C94" t="s">
        <v>81</v>
      </c>
      <c r="D94" t="str">
        <f t="shared" si="3"/>
        <v>R_ES-SD-SpCool</v>
      </c>
      <c r="E94">
        <f t="shared" si="2"/>
        <v>2011</v>
      </c>
      <c r="F94">
        <v>1</v>
      </c>
      <c r="G94" s="18">
        <f>'Generalized Data'!$C$3</f>
        <v>6.3071999999999999</v>
      </c>
      <c r="H94" s="4">
        <f>'Generalized Data'!C78</f>
        <v>4.5596896488000001</v>
      </c>
      <c r="I94" s="4">
        <f>'Generalized Data'!E78</f>
        <v>91.193792975999997</v>
      </c>
      <c r="J94" s="4">
        <f>'Generalized Data'!G78</f>
        <v>3.1</v>
      </c>
      <c r="K94" s="4"/>
      <c r="L94" s="4"/>
      <c r="M94" s="4"/>
      <c r="N94" s="4"/>
      <c r="O94" s="4"/>
      <c r="P94" s="2">
        <f>'Generalized Data'!M78</f>
        <v>10</v>
      </c>
      <c r="Q94" s="91">
        <v>2011</v>
      </c>
    </row>
    <row r="95" spans="1:23" x14ac:dyDescent="0.2">
      <c r="B95" t="str">
        <f>"R_ES-SC-SD_"&amp;RIGHT(C95,3)&amp;"04"</f>
        <v>R_ES-SC-SD_ELC04</v>
      </c>
      <c r="C95" t="s">
        <v>81</v>
      </c>
      <c r="D95" t="str">
        <f t="shared" si="3"/>
        <v>R_ES-SD-SpCool</v>
      </c>
      <c r="E95">
        <f t="shared" si="2"/>
        <v>2011</v>
      </c>
      <c r="F95">
        <v>1</v>
      </c>
      <c r="G95" s="18">
        <f>'Generalized Data'!$C$4</f>
        <v>31.536000000000001</v>
      </c>
      <c r="H95" s="4">
        <f>'Generalized Data'!C79</f>
        <v>16.650000000000002</v>
      </c>
      <c r="I95" s="4">
        <f>'Generalized Data'!E79</f>
        <v>333</v>
      </c>
      <c r="J95" s="4">
        <f>'Generalized Data'!G79</f>
        <v>2.93</v>
      </c>
      <c r="K95" s="4"/>
      <c r="L95" s="4"/>
      <c r="M95" s="4"/>
      <c r="N95" s="4"/>
      <c r="O95" s="4"/>
      <c r="P95" s="2">
        <f>'Generalized Data'!M79</f>
        <v>15</v>
      </c>
      <c r="Q95" s="91">
        <v>2011</v>
      </c>
    </row>
    <row r="96" spans="1:23" x14ac:dyDescent="0.2">
      <c r="B96" t="str">
        <f>"R_ES-SC-SD_"&amp;RIGHT(C96,3)&amp;"05"</f>
        <v>R_ES-SC-SD_ELC05</v>
      </c>
      <c r="C96" t="s">
        <v>81</v>
      </c>
      <c r="D96" t="str">
        <f t="shared" si="3"/>
        <v>R_ES-SD-SpCool</v>
      </c>
      <c r="E96">
        <f t="shared" si="2"/>
        <v>2011</v>
      </c>
      <c r="F96">
        <v>1</v>
      </c>
      <c r="G96" s="18">
        <f>'Generalized Data'!$C$4</f>
        <v>31.536000000000001</v>
      </c>
      <c r="H96" s="4">
        <f>'Generalized Data'!C80</f>
        <v>13.622776481599999</v>
      </c>
      <c r="I96" s="4">
        <f>'Generalized Data'!E80</f>
        <v>272.45552963199998</v>
      </c>
      <c r="J96" s="4">
        <f>'Generalized Data'!G80</f>
        <v>3.306</v>
      </c>
      <c r="K96" s="4"/>
      <c r="L96" s="4"/>
      <c r="M96" s="4"/>
      <c r="N96" s="4"/>
      <c r="O96" s="4"/>
      <c r="P96" s="2">
        <f>'Generalized Data'!M80</f>
        <v>15</v>
      </c>
      <c r="Q96" s="91">
        <v>2011</v>
      </c>
    </row>
    <row r="97" spans="2:17" x14ac:dyDescent="0.2">
      <c r="B97" t="str">
        <f>"R_ES-SC-SD_"&amp;RIGHT(C97,3)&amp;"06"</f>
        <v>R_ES-SC-SD_GAS06</v>
      </c>
      <c r="C97" t="s">
        <v>83</v>
      </c>
      <c r="D97" t="str">
        <f t="shared" si="3"/>
        <v>R_ES-SD-SpCool</v>
      </c>
      <c r="E97">
        <f t="shared" si="2"/>
        <v>2011</v>
      </c>
      <c r="F97">
        <v>1</v>
      </c>
      <c r="G97" s="18">
        <f>'Generalized Data'!$C$4</f>
        <v>31.536000000000001</v>
      </c>
      <c r="H97" s="4">
        <f>'Generalized Data'!C81</f>
        <v>97.048209315199998</v>
      </c>
      <c r="I97" s="4">
        <f>'Generalized Data'!E81</f>
        <v>1940.9641863039999</v>
      </c>
      <c r="J97" s="4">
        <f>'Generalized Data'!G81</f>
        <v>4.41</v>
      </c>
      <c r="K97" s="4"/>
      <c r="L97" s="4"/>
      <c r="M97" s="4"/>
      <c r="N97" s="4"/>
      <c r="O97" s="4"/>
      <c r="P97" s="2">
        <f>'Generalized Data'!M81</f>
        <v>15</v>
      </c>
      <c r="Q97" s="91">
        <v>2011</v>
      </c>
    </row>
    <row r="98" spans="2:17" x14ac:dyDescent="0.2">
      <c r="B98" t="str">
        <f>"R_ES-SC-SD_"&amp;RIGHT(C98,3)&amp;"07"</f>
        <v>R_ES-SC-SD_GAS07</v>
      </c>
      <c r="C98" t="s">
        <v>83</v>
      </c>
      <c r="D98" t="str">
        <f t="shared" si="3"/>
        <v>R_ES-SD-SpCool</v>
      </c>
      <c r="E98">
        <f t="shared" si="2"/>
        <v>2011</v>
      </c>
      <c r="F98">
        <v>1</v>
      </c>
      <c r="G98" s="18">
        <f>'Generalized Data'!$C$4</f>
        <v>31.536000000000001</v>
      </c>
      <c r="H98" s="4">
        <f>'Generalized Data'!C82</f>
        <v>69.127146774400003</v>
      </c>
      <c r="I98" s="4">
        <f>'Generalized Data'!E82</f>
        <v>1382.542935488</v>
      </c>
      <c r="J98" s="4">
        <f>'Generalized Data'!G82</f>
        <v>1.0349999999999999</v>
      </c>
      <c r="K98" s="4"/>
      <c r="L98" s="4"/>
      <c r="M98" s="4"/>
      <c r="N98" s="4"/>
      <c r="O98" s="4"/>
      <c r="P98" s="2">
        <f>'Generalized Data'!M82</f>
        <v>15</v>
      </c>
      <c r="Q98" s="91">
        <v>2011</v>
      </c>
    </row>
    <row r="99" spans="2:17" x14ac:dyDescent="0.2">
      <c r="B99" t="str">
        <f>"R_ES-SC-SD_"&amp;RIGHT(C99,3)&amp;"08"</f>
        <v>R_ES-SC-SD_ELC08</v>
      </c>
      <c r="C99" t="s">
        <v>81</v>
      </c>
      <c r="D99" t="str">
        <f t="shared" si="3"/>
        <v>R_ES-SD-SpCool</v>
      </c>
      <c r="E99">
        <f t="shared" si="2"/>
        <v>2011</v>
      </c>
      <c r="F99">
        <v>1</v>
      </c>
      <c r="G99" s="18">
        <f>'Generalized Data'!$C$4</f>
        <v>31.536000000000001</v>
      </c>
      <c r="H99" s="4">
        <f>'Generalized Data'!C83</f>
        <v>76.55775212799999</v>
      </c>
      <c r="I99" s="4">
        <f>'Generalized Data'!E83</f>
        <v>3827.8876063999996</v>
      </c>
      <c r="J99" s="4">
        <f>'Generalized Data'!G83</f>
        <v>0.65</v>
      </c>
      <c r="K99" s="4"/>
      <c r="L99" s="4"/>
      <c r="M99" s="4">
        <f>'Generalized Data'!Q83</f>
        <v>0.3</v>
      </c>
      <c r="P99" s="2">
        <f>'Generalized Data'!M83</f>
        <v>15</v>
      </c>
      <c r="Q99" s="91">
        <v>2011</v>
      </c>
    </row>
    <row r="100" spans="2:17" x14ac:dyDescent="0.2">
      <c r="C100" t="s">
        <v>86</v>
      </c>
      <c r="E100">
        <v>2020</v>
      </c>
      <c r="G100" s="18"/>
      <c r="H100" s="4"/>
      <c r="I100" s="4">
        <f>'Generalized Data'!K83</f>
        <v>2500</v>
      </c>
      <c r="J100" s="4">
        <f>'Generalized Data'!L83</f>
        <v>1.25</v>
      </c>
      <c r="K100" s="4"/>
      <c r="L100" s="4"/>
      <c r="M100" s="4"/>
      <c r="P100" s="2"/>
    </row>
    <row r="101" spans="2:17" x14ac:dyDescent="0.2">
      <c r="L101" s="4"/>
      <c r="M101" s="4"/>
      <c r="N101" s="4"/>
      <c r="O101" s="4"/>
      <c r="P101" s="4"/>
      <c r="Q101" s="2"/>
    </row>
    <row r="102" spans="2:17" x14ac:dyDescent="0.2">
      <c r="H102" s="18"/>
      <c r="I102" s="4"/>
      <c r="J102" s="4"/>
      <c r="K102" s="4"/>
      <c r="L102" s="4"/>
      <c r="M102" s="4"/>
      <c r="N102" s="4"/>
      <c r="O102" s="4"/>
      <c r="P102" s="4"/>
      <c r="Q102" s="2"/>
    </row>
    <row r="103" spans="2:17" x14ac:dyDescent="0.2">
      <c r="H103" s="18"/>
      <c r="I103" s="4"/>
      <c r="J103" s="4"/>
      <c r="K103" s="4"/>
      <c r="L103" s="4"/>
      <c r="M103" s="4"/>
      <c r="N103" s="4"/>
      <c r="O103" s="4"/>
      <c r="P103" s="4"/>
      <c r="Q103" s="2"/>
    </row>
    <row r="128" spans="8:19" x14ac:dyDescent="0.2">
      <c r="H128" s="18"/>
      <c r="I128" s="4"/>
      <c r="J128" s="4"/>
      <c r="K128" s="4"/>
      <c r="L128" s="4"/>
      <c r="M128" s="4"/>
      <c r="N128" s="4"/>
      <c r="O128" s="4"/>
      <c r="P128" s="4"/>
      <c r="Q128" s="2"/>
      <c r="S128" s="2"/>
    </row>
    <row r="129" spans="8:19" x14ac:dyDescent="0.2">
      <c r="H129" s="18"/>
      <c r="I129" s="4"/>
      <c r="J129" s="4"/>
      <c r="K129" s="4"/>
      <c r="L129" s="4"/>
      <c r="M129" s="4"/>
      <c r="N129" s="4"/>
      <c r="O129" s="4"/>
      <c r="P129" s="4"/>
      <c r="Q129" s="2"/>
      <c r="S129" s="2"/>
    </row>
    <row r="130" spans="8:19" x14ac:dyDescent="0.2">
      <c r="H130" s="18"/>
      <c r="I130" s="4"/>
      <c r="J130" s="4"/>
      <c r="K130" s="3"/>
      <c r="L130" s="3"/>
      <c r="M130" s="3"/>
      <c r="S130" s="2"/>
    </row>
    <row r="131" spans="8:19" x14ac:dyDescent="0.2">
      <c r="H131" s="18"/>
      <c r="I131" s="4"/>
      <c r="J131" s="4"/>
      <c r="K131" s="3"/>
      <c r="L131" s="3"/>
      <c r="M131" s="3"/>
      <c r="S131" s="2"/>
    </row>
    <row r="132" spans="8:19" x14ac:dyDescent="0.2">
      <c r="H132" s="18"/>
      <c r="I132" s="4"/>
      <c r="J132" s="4"/>
      <c r="K132" s="3"/>
      <c r="L132" s="3"/>
      <c r="M132" s="3"/>
      <c r="S132" s="2"/>
    </row>
    <row r="133" spans="8:19" x14ac:dyDescent="0.2">
      <c r="H133" s="18"/>
      <c r="I133" s="4"/>
      <c r="J133" s="4"/>
      <c r="K133" s="3"/>
      <c r="L133" s="3"/>
      <c r="M133" s="3"/>
      <c r="S133" s="2"/>
    </row>
    <row r="134" spans="8:19" x14ac:dyDescent="0.2">
      <c r="H134" s="18"/>
      <c r="I134" s="4"/>
      <c r="J134" s="4"/>
      <c r="K134" s="3"/>
      <c r="L134" s="3"/>
      <c r="M134" s="3"/>
      <c r="S134" s="2"/>
    </row>
    <row r="135" spans="8:19" x14ac:dyDescent="0.2">
      <c r="H135" s="18"/>
      <c r="I135" s="4"/>
      <c r="J135" s="4"/>
      <c r="K135" s="3"/>
      <c r="L135" s="3"/>
      <c r="M135" s="3"/>
      <c r="S135" s="2"/>
    </row>
    <row r="136" spans="8:19" x14ac:dyDescent="0.2">
      <c r="H136" s="18"/>
      <c r="I136" s="4"/>
      <c r="J136" s="4"/>
      <c r="K136" s="3"/>
      <c r="L136" s="3"/>
      <c r="M136" s="3"/>
      <c r="S136" s="2"/>
    </row>
    <row r="137" spans="8:19" x14ac:dyDescent="0.2">
      <c r="H137" s="18"/>
      <c r="I137" s="4"/>
      <c r="J137" s="4"/>
      <c r="K137" s="3"/>
      <c r="L137" s="3"/>
      <c r="M137" s="3"/>
      <c r="S137" s="2"/>
    </row>
    <row r="138" spans="8:19" x14ac:dyDescent="0.2">
      <c r="H138" s="18"/>
      <c r="I138" s="4"/>
      <c r="J138" s="4"/>
      <c r="K138" s="3"/>
      <c r="L138" s="3"/>
      <c r="M138" s="3"/>
      <c r="S138" s="2"/>
    </row>
    <row r="139" spans="8:19" x14ac:dyDescent="0.2">
      <c r="H139" s="18"/>
      <c r="I139" s="4"/>
      <c r="J139" s="4"/>
      <c r="K139" s="3"/>
      <c r="L139" s="3"/>
      <c r="M139" s="3"/>
      <c r="S139" s="2"/>
    </row>
    <row r="140" spans="8:19" x14ac:dyDescent="0.2">
      <c r="H140" s="18"/>
      <c r="I140" s="4"/>
      <c r="J140" s="4"/>
      <c r="K140" s="3"/>
      <c r="L140" s="3"/>
      <c r="M140" s="3"/>
      <c r="S140" s="2"/>
    </row>
    <row r="141" spans="8:19" x14ac:dyDescent="0.2">
      <c r="H141" s="18"/>
      <c r="I141" s="4"/>
      <c r="J141" s="4"/>
      <c r="K141" s="3"/>
      <c r="L141" s="3"/>
      <c r="M141" s="3"/>
      <c r="S141" s="2"/>
    </row>
    <row r="142" spans="8:19" x14ac:dyDescent="0.2">
      <c r="H142" s="18"/>
      <c r="I142" s="4"/>
      <c r="J142" s="4"/>
      <c r="K142" s="3"/>
      <c r="L142" s="3"/>
      <c r="M142" s="3"/>
      <c r="S142" s="2"/>
    </row>
    <row r="143" spans="8:19" x14ac:dyDescent="0.2">
      <c r="H143" s="18"/>
      <c r="I143" s="4"/>
      <c r="J143" s="4"/>
      <c r="K143" s="3"/>
      <c r="L143" s="3"/>
      <c r="M143" s="3"/>
      <c r="S143" s="2"/>
    </row>
    <row r="144" spans="8:19" x14ac:dyDescent="0.2">
      <c r="H144" s="18"/>
      <c r="I144" s="4"/>
      <c r="J144" s="4"/>
      <c r="K144" s="3"/>
      <c r="L144" s="3"/>
      <c r="M144" s="3"/>
      <c r="S144" s="2"/>
    </row>
    <row r="145" spans="8:19" x14ac:dyDescent="0.2">
      <c r="H145" s="18"/>
      <c r="I145" s="4"/>
      <c r="J145" s="4"/>
      <c r="K145" s="3"/>
      <c r="L145" s="3"/>
      <c r="M145" s="3"/>
      <c r="S145" s="2"/>
    </row>
    <row r="146" spans="8:19" x14ac:dyDescent="0.2">
      <c r="H146" s="18"/>
      <c r="I146" s="4"/>
      <c r="J146" s="4"/>
      <c r="K146" s="3"/>
      <c r="L146" s="3"/>
      <c r="M146" s="3"/>
      <c r="S146" s="2"/>
    </row>
    <row r="147" spans="8:19" x14ac:dyDescent="0.2">
      <c r="H147" s="18"/>
      <c r="I147" s="4"/>
      <c r="J147" s="4"/>
      <c r="K147" s="3"/>
      <c r="L147" s="3"/>
      <c r="M147" s="3"/>
      <c r="S147" s="2"/>
    </row>
    <row r="148" spans="8:19" x14ac:dyDescent="0.2">
      <c r="H148" s="18"/>
      <c r="I148" s="4"/>
      <c r="J148" s="4"/>
      <c r="K148" s="3"/>
      <c r="L148" s="3"/>
      <c r="M148" s="3"/>
      <c r="S148" s="2"/>
    </row>
    <row r="149" spans="8:19" x14ac:dyDescent="0.2">
      <c r="H149" s="18"/>
      <c r="I149" s="4"/>
      <c r="J149" s="4"/>
      <c r="K149" s="3"/>
      <c r="L149" s="3"/>
      <c r="M149" s="3"/>
      <c r="S149" s="2"/>
    </row>
    <row r="150" spans="8:19" x14ac:dyDescent="0.2">
      <c r="H150" s="18"/>
      <c r="I150" s="4"/>
      <c r="J150" s="4"/>
      <c r="K150" s="3"/>
      <c r="L150" s="3"/>
      <c r="M150" s="3"/>
      <c r="S150" s="2"/>
    </row>
    <row r="151" spans="8:19" x14ac:dyDescent="0.2">
      <c r="H151" s="18"/>
      <c r="I151" s="4"/>
      <c r="J151" s="4"/>
      <c r="K151" s="3"/>
      <c r="L151" s="3"/>
      <c r="M151" s="3"/>
      <c r="S151" s="2"/>
    </row>
    <row r="152" spans="8:19" x14ac:dyDescent="0.2">
      <c r="H152" s="18"/>
      <c r="I152" s="4"/>
      <c r="J152" s="4"/>
      <c r="K152" s="3"/>
      <c r="L152" s="3"/>
      <c r="M152" s="3"/>
      <c r="S152" s="2"/>
    </row>
    <row r="153" spans="8:19" x14ac:dyDescent="0.2">
      <c r="H153" s="18"/>
      <c r="I153" s="4"/>
      <c r="J153" s="4"/>
      <c r="K153" s="3"/>
      <c r="L153" s="3"/>
      <c r="M153" s="3"/>
      <c r="S153" s="2"/>
    </row>
    <row r="154" spans="8:19" x14ac:dyDescent="0.2">
      <c r="H154" s="18"/>
      <c r="I154" s="4"/>
      <c r="J154" s="4"/>
      <c r="K154" s="3"/>
      <c r="L154" s="3"/>
      <c r="M154" s="3"/>
      <c r="S154" s="2"/>
    </row>
    <row r="155" spans="8:19" x14ac:dyDescent="0.2">
      <c r="H155" s="18"/>
      <c r="I155" s="4"/>
      <c r="J155" s="4"/>
      <c r="K155" s="3"/>
      <c r="L155" s="3"/>
      <c r="M155" s="3"/>
      <c r="S155" s="2"/>
    </row>
    <row r="156" spans="8:19" x14ac:dyDescent="0.2">
      <c r="H156" s="18"/>
      <c r="I156" s="4"/>
      <c r="J156" s="4"/>
      <c r="K156" s="3"/>
      <c r="L156" s="3"/>
      <c r="M156" s="3"/>
      <c r="S156" s="2"/>
    </row>
    <row r="157" spans="8:19" x14ac:dyDescent="0.2">
      <c r="H157" s="18"/>
      <c r="I157" s="4"/>
      <c r="J157" s="4"/>
      <c r="K157" s="3"/>
      <c r="L157" s="3"/>
      <c r="M157" s="3"/>
      <c r="S157" s="2"/>
    </row>
    <row r="158" spans="8:19" x14ac:dyDescent="0.2">
      <c r="H158" s="18"/>
      <c r="I158" s="4"/>
      <c r="J158" s="4"/>
      <c r="K158" s="3"/>
      <c r="L158" s="3"/>
      <c r="M158" s="3"/>
      <c r="S158" s="2"/>
    </row>
    <row r="159" spans="8:19" x14ac:dyDescent="0.2">
      <c r="H159" s="18"/>
      <c r="I159" s="4"/>
      <c r="J159" s="4"/>
      <c r="K159" s="3"/>
      <c r="L159" s="3"/>
      <c r="M159" s="3"/>
      <c r="S159" s="2"/>
    </row>
    <row r="160" spans="8:19" x14ac:dyDescent="0.2">
      <c r="H160" s="18"/>
      <c r="I160" s="4"/>
      <c r="J160" s="4"/>
      <c r="K160" s="3"/>
      <c r="L160" s="3"/>
      <c r="M160" s="3"/>
      <c r="S160" s="2"/>
    </row>
    <row r="161" spans="8:19" x14ac:dyDescent="0.2">
      <c r="H161" s="18"/>
      <c r="I161" s="4"/>
      <c r="J161" s="4"/>
      <c r="K161" s="3"/>
      <c r="L161" s="3"/>
      <c r="M161" s="3"/>
      <c r="S161" s="2"/>
    </row>
    <row r="162" spans="8:19" x14ac:dyDescent="0.2">
      <c r="H162" s="18"/>
      <c r="I162" s="4"/>
      <c r="J162" s="4"/>
      <c r="K162" s="3"/>
      <c r="L162" s="3"/>
      <c r="M162" s="3"/>
      <c r="S162" s="2"/>
    </row>
    <row r="163" spans="8:19" x14ac:dyDescent="0.2">
      <c r="H163" s="18"/>
      <c r="I163" s="4"/>
      <c r="J163" s="4"/>
      <c r="K163" s="3"/>
      <c r="L163" s="3"/>
      <c r="M163" s="3"/>
      <c r="S163" s="2"/>
    </row>
    <row r="164" spans="8:19" x14ac:dyDescent="0.2">
      <c r="H164" s="18"/>
      <c r="I164" s="4"/>
      <c r="J164" s="4"/>
      <c r="K164" s="3"/>
      <c r="L164" s="3"/>
      <c r="M164" s="3"/>
      <c r="S164" s="2"/>
    </row>
    <row r="165" spans="8:19" x14ac:dyDescent="0.2">
      <c r="H165" s="18"/>
      <c r="I165" s="4"/>
      <c r="J165" s="4"/>
      <c r="K165" s="3"/>
      <c r="L165" s="3"/>
      <c r="M165" s="3"/>
      <c r="S165" s="2"/>
    </row>
    <row r="166" spans="8:19" x14ac:dyDescent="0.2">
      <c r="H166" s="18"/>
      <c r="I166" s="4"/>
      <c r="J166" s="4"/>
      <c r="K166" s="3"/>
      <c r="L166" s="3"/>
      <c r="M166" s="3"/>
      <c r="S166" s="2"/>
    </row>
    <row r="167" spans="8:19" x14ac:dyDescent="0.2">
      <c r="H167" s="18"/>
      <c r="I167" s="4"/>
      <c r="J167" s="4"/>
      <c r="K167" s="3"/>
      <c r="L167" s="3"/>
      <c r="M167" s="3"/>
      <c r="S167" s="2"/>
    </row>
    <row r="168" spans="8:19" x14ac:dyDescent="0.2">
      <c r="H168" s="18"/>
      <c r="I168" s="4"/>
      <c r="J168" s="4"/>
      <c r="K168" s="3"/>
      <c r="L168" s="3"/>
      <c r="M168" s="3"/>
      <c r="S168" s="2"/>
    </row>
    <row r="169" spans="8:19" x14ac:dyDescent="0.2">
      <c r="H169" s="18"/>
      <c r="I169" s="4"/>
      <c r="J169" s="4"/>
      <c r="K169" s="3"/>
      <c r="L169" s="3"/>
      <c r="M169" s="3"/>
      <c r="S169" s="2"/>
    </row>
    <row r="170" spans="8:19" x14ac:dyDescent="0.2">
      <c r="H170" s="18"/>
      <c r="I170" s="4"/>
      <c r="J170" s="4"/>
      <c r="K170" s="3"/>
      <c r="L170" s="3"/>
      <c r="M170" s="3"/>
      <c r="S170" s="2"/>
    </row>
    <row r="171" spans="8:19" x14ac:dyDescent="0.2">
      <c r="H171" s="18"/>
      <c r="I171" s="4"/>
      <c r="J171" s="4"/>
      <c r="K171" s="3"/>
      <c r="L171" s="3"/>
      <c r="M171" s="3"/>
      <c r="S171" s="2"/>
    </row>
    <row r="172" spans="8:19" x14ac:dyDescent="0.2">
      <c r="H172" s="18"/>
      <c r="I172" s="4"/>
      <c r="J172" s="4"/>
      <c r="K172" s="3"/>
      <c r="L172" s="3"/>
      <c r="M172" s="3"/>
      <c r="S172" s="2"/>
    </row>
    <row r="173" spans="8:19" x14ac:dyDescent="0.2">
      <c r="H173" s="18"/>
      <c r="I173" s="4"/>
      <c r="J173" s="4"/>
      <c r="K173" s="3"/>
      <c r="L173" s="3"/>
      <c r="M173" s="3"/>
      <c r="S173" s="2"/>
    </row>
    <row r="174" spans="8:19" x14ac:dyDescent="0.2">
      <c r="H174" s="18"/>
      <c r="I174" s="4"/>
      <c r="J174" s="4"/>
      <c r="K174" s="3"/>
      <c r="L174" s="3"/>
      <c r="M174" s="3"/>
      <c r="S174" s="2"/>
    </row>
    <row r="175" spans="8:19" x14ac:dyDescent="0.2">
      <c r="H175" s="18"/>
      <c r="I175" s="4"/>
      <c r="J175" s="4"/>
      <c r="K175" s="3"/>
      <c r="L175" s="3"/>
      <c r="M175" s="3"/>
      <c r="S175" s="2"/>
    </row>
    <row r="176" spans="8:19" x14ac:dyDescent="0.2">
      <c r="H176" s="18"/>
      <c r="I176" s="4"/>
      <c r="J176" s="4"/>
      <c r="K176" s="3"/>
      <c r="L176" s="3"/>
      <c r="M176" s="3"/>
      <c r="S176" s="2"/>
    </row>
    <row r="177" spans="8:19" x14ac:dyDescent="0.2">
      <c r="H177" s="18"/>
      <c r="I177" s="4"/>
      <c r="J177" s="4"/>
      <c r="K177" s="3"/>
      <c r="L177" s="3"/>
      <c r="M177" s="3"/>
      <c r="S177" s="2"/>
    </row>
    <row r="178" spans="8:19" x14ac:dyDescent="0.2">
      <c r="H178" s="18"/>
      <c r="I178" s="4"/>
      <c r="J178" s="4"/>
      <c r="K178" s="3"/>
      <c r="L178" s="3"/>
      <c r="M178" s="3"/>
      <c r="S178" s="2"/>
    </row>
    <row r="179" spans="8:19" x14ac:dyDescent="0.2">
      <c r="H179" s="18"/>
      <c r="I179" s="4"/>
      <c r="J179" s="4"/>
      <c r="K179" s="3"/>
      <c r="L179" s="3"/>
      <c r="M179" s="3"/>
      <c r="S179" s="2"/>
    </row>
    <row r="180" spans="8:19" x14ac:dyDescent="0.2">
      <c r="H180" s="18"/>
      <c r="I180" s="4"/>
      <c r="J180" s="4"/>
      <c r="K180" s="3"/>
      <c r="L180" s="3"/>
      <c r="M180" s="3"/>
      <c r="S180" s="2"/>
    </row>
    <row r="181" spans="8:19" x14ac:dyDescent="0.2">
      <c r="H181" s="18"/>
      <c r="I181" s="4"/>
      <c r="J181" s="4"/>
      <c r="K181" s="3"/>
      <c r="L181" s="3"/>
      <c r="M181" s="3"/>
      <c r="S181" s="2"/>
    </row>
    <row r="182" spans="8:19" x14ac:dyDescent="0.2">
      <c r="H182" s="18"/>
      <c r="I182" s="4"/>
      <c r="J182" s="4"/>
      <c r="K182" s="3"/>
      <c r="L182" s="3"/>
      <c r="M182" s="3"/>
      <c r="S182" s="2"/>
    </row>
    <row r="183" spans="8:19" x14ac:dyDescent="0.2">
      <c r="H183" s="18"/>
      <c r="I183" s="4"/>
      <c r="J183" s="4"/>
      <c r="K183" s="3"/>
      <c r="L183" s="3"/>
      <c r="M183" s="3"/>
      <c r="S183" s="2"/>
    </row>
    <row r="184" spans="8:19" x14ac:dyDescent="0.2">
      <c r="H184" s="18"/>
      <c r="I184" s="4"/>
      <c r="J184" s="4"/>
      <c r="K184" s="3"/>
      <c r="L184" s="3"/>
      <c r="M184" s="3"/>
      <c r="S184" s="2"/>
    </row>
    <row r="185" spans="8:19" x14ac:dyDescent="0.2">
      <c r="H185" s="18"/>
      <c r="I185" s="4"/>
      <c r="J185" s="4"/>
      <c r="K185" s="3"/>
      <c r="L185" s="3"/>
      <c r="M185" s="3"/>
      <c r="S185" s="2"/>
    </row>
    <row r="186" spans="8:19" x14ac:dyDescent="0.2">
      <c r="H186" s="18"/>
      <c r="I186" s="4"/>
      <c r="J186" s="4"/>
      <c r="K186" s="3"/>
      <c r="L186" s="3"/>
      <c r="M186" s="3"/>
      <c r="S186" s="2"/>
    </row>
    <row r="187" spans="8:19" x14ac:dyDescent="0.2">
      <c r="H187" s="18"/>
      <c r="I187" s="4"/>
      <c r="J187" s="4"/>
      <c r="K187" s="3"/>
      <c r="L187" s="3"/>
      <c r="M187" s="3"/>
      <c r="S187" s="2"/>
    </row>
    <row r="188" spans="8:19" x14ac:dyDescent="0.2">
      <c r="H188" s="18"/>
      <c r="I188" s="4"/>
      <c r="J188" s="4"/>
      <c r="K188" s="3"/>
      <c r="L188" s="3"/>
      <c r="M188" s="3"/>
      <c r="S188" s="2"/>
    </row>
    <row r="189" spans="8:19" x14ac:dyDescent="0.2">
      <c r="H189" s="18"/>
      <c r="I189" s="4"/>
      <c r="J189" s="4"/>
      <c r="K189" s="3"/>
      <c r="L189" s="3"/>
      <c r="M189" s="3"/>
      <c r="S189" s="2"/>
    </row>
    <row r="190" spans="8:19" x14ac:dyDescent="0.2">
      <c r="H190" s="18"/>
      <c r="I190" s="4"/>
      <c r="J190" s="4"/>
      <c r="K190" s="3"/>
      <c r="L190" s="3"/>
      <c r="M190" s="3"/>
      <c r="S190" s="2"/>
    </row>
    <row r="191" spans="8:19" x14ac:dyDescent="0.2">
      <c r="H191" s="18"/>
      <c r="I191" s="4"/>
      <c r="J191" s="4"/>
      <c r="K191" s="3"/>
      <c r="L191" s="3"/>
      <c r="M191" s="3"/>
      <c r="S191" s="2"/>
    </row>
    <row r="192" spans="8:19" x14ac:dyDescent="0.2">
      <c r="H192" s="18"/>
      <c r="I192" s="4"/>
      <c r="J192" s="4"/>
      <c r="K192" s="3"/>
      <c r="L192" s="3"/>
      <c r="M192" s="3"/>
      <c r="S192" s="2"/>
    </row>
    <row r="193" spans="8:19" x14ac:dyDescent="0.2">
      <c r="H193" s="18"/>
      <c r="I193" s="4"/>
      <c r="J193" s="4"/>
      <c r="K193" s="3"/>
      <c r="L193" s="3"/>
      <c r="M193" s="3"/>
      <c r="S193" s="2"/>
    </row>
    <row r="194" spans="8:19" x14ac:dyDescent="0.2">
      <c r="H194" s="18"/>
      <c r="I194" s="4"/>
      <c r="J194" s="4"/>
      <c r="K194" s="3"/>
      <c r="L194" s="3"/>
      <c r="M194" s="3"/>
      <c r="S194" s="2"/>
    </row>
    <row r="195" spans="8:19" x14ac:dyDescent="0.2">
      <c r="H195" s="18"/>
      <c r="I195" s="4"/>
      <c r="J195" s="4"/>
      <c r="K195" s="3"/>
      <c r="L195" s="3"/>
      <c r="M195" s="3"/>
      <c r="S195" s="2"/>
    </row>
    <row r="196" spans="8:19" x14ac:dyDescent="0.2">
      <c r="H196" s="18"/>
      <c r="I196" s="4"/>
      <c r="J196" s="4"/>
      <c r="K196" s="3"/>
      <c r="L196" s="3"/>
      <c r="M196" s="3"/>
      <c r="S196" s="2"/>
    </row>
    <row r="197" spans="8:19" x14ac:dyDescent="0.2">
      <c r="H197" s="18"/>
      <c r="I197" s="4"/>
      <c r="J197" s="4"/>
      <c r="K197" s="3"/>
      <c r="L197" s="3"/>
      <c r="M197" s="3"/>
      <c r="S197" s="2"/>
    </row>
    <row r="198" spans="8:19" x14ac:dyDescent="0.2">
      <c r="H198" s="18"/>
      <c r="I198" s="4"/>
      <c r="J198" s="4"/>
      <c r="K198" s="3"/>
      <c r="L198" s="3"/>
      <c r="M198" s="3"/>
      <c r="S198" s="2"/>
    </row>
    <row r="199" spans="8:19" x14ac:dyDescent="0.2">
      <c r="H199" s="18"/>
      <c r="I199" s="4"/>
      <c r="J199" s="4"/>
      <c r="K199" s="3"/>
      <c r="L199" s="3"/>
      <c r="M199" s="3"/>
      <c r="S199" s="2"/>
    </row>
    <row r="200" spans="8:19" x14ac:dyDescent="0.2">
      <c r="H200" s="18"/>
      <c r="I200" s="4"/>
      <c r="J200" s="4"/>
      <c r="K200" s="3"/>
      <c r="L200" s="3"/>
      <c r="M200" s="3"/>
      <c r="S200" s="2"/>
    </row>
    <row r="201" spans="8:19" x14ac:dyDescent="0.2">
      <c r="H201" s="18"/>
      <c r="I201" s="4"/>
      <c r="J201" s="4"/>
      <c r="K201" s="3"/>
      <c r="L201" s="3"/>
      <c r="M201" s="3"/>
      <c r="S201" s="2"/>
    </row>
    <row r="202" spans="8:19" x14ac:dyDescent="0.2">
      <c r="H202" s="18"/>
      <c r="I202" s="4"/>
      <c r="J202" s="4"/>
      <c r="K202" s="3"/>
      <c r="L202" s="3"/>
      <c r="M202" s="3"/>
      <c r="S202" s="2"/>
    </row>
    <row r="203" spans="8:19" x14ac:dyDescent="0.2">
      <c r="H203" s="18"/>
      <c r="I203" s="4"/>
      <c r="J203" s="4"/>
      <c r="K203" s="3"/>
      <c r="L203" s="3"/>
      <c r="M203" s="3"/>
      <c r="S203" s="2"/>
    </row>
    <row r="204" spans="8:19" x14ac:dyDescent="0.2">
      <c r="H204" s="18"/>
      <c r="I204" s="4"/>
      <c r="J204" s="4"/>
      <c r="K204" s="3"/>
      <c r="L204" s="3"/>
      <c r="M204" s="3"/>
      <c r="S204" s="2"/>
    </row>
    <row r="205" spans="8:19" x14ac:dyDescent="0.2">
      <c r="H205" s="18"/>
      <c r="I205" s="4"/>
      <c r="J205" s="4"/>
      <c r="K205" s="3"/>
      <c r="L205" s="3"/>
      <c r="M205" s="3"/>
      <c r="S205" s="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79998168889431442"/>
  </sheetPr>
  <dimension ref="A1:DA132"/>
  <sheetViews>
    <sheetView topLeftCell="A19" zoomScale="85" zoomScaleNormal="85" workbookViewId="0">
      <selection activeCell="G20" sqref="G20"/>
    </sheetView>
  </sheetViews>
  <sheetFormatPr defaultRowHeight="12.75" x14ac:dyDescent="0.2"/>
  <cols>
    <col min="1" max="1" width="15.85546875" customWidth="1"/>
    <col min="2" max="2" width="22.85546875" bestFit="1" customWidth="1"/>
    <col min="3" max="3" width="11.7109375" customWidth="1"/>
    <col min="4" max="4" width="17.28515625" customWidth="1"/>
    <col min="5" max="5" width="11.28515625" customWidth="1"/>
    <col min="6" max="6" width="12.7109375" customWidth="1"/>
    <col min="8" max="8" width="9.28515625" bestFit="1" customWidth="1"/>
    <col min="9" max="9" width="10.42578125" bestFit="1" customWidth="1"/>
    <col min="12" max="12" width="8.7109375" customWidth="1"/>
    <col min="13" max="13" width="9.7109375" customWidth="1"/>
    <col min="17" max="17" width="31.7109375" bestFit="1" customWidth="1"/>
    <col min="18" max="18" width="16.28515625" bestFit="1" customWidth="1"/>
    <col min="19" max="19" width="14.85546875" customWidth="1"/>
    <col min="20" max="20" width="15" bestFit="1" customWidth="1"/>
  </cols>
  <sheetData>
    <row r="1" spans="1:96" x14ac:dyDescent="0.2">
      <c r="A1" s="6" t="s">
        <v>479</v>
      </c>
    </row>
    <row r="2" spans="1:96" x14ac:dyDescent="0.2">
      <c r="A2" s="6"/>
    </row>
    <row r="3" spans="1:96" x14ac:dyDescent="0.2">
      <c r="B3" s="1"/>
      <c r="E3" s="1" t="s">
        <v>15</v>
      </c>
      <c r="G3" s="2"/>
      <c r="H3" s="5"/>
      <c r="I3" s="4"/>
      <c r="J3" s="3"/>
      <c r="K3" s="3"/>
      <c r="L3" s="3"/>
      <c r="S3" t="s">
        <v>491</v>
      </c>
      <c r="T3" t="s">
        <v>491</v>
      </c>
    </row>
    <row r="4" spans="1:96" ht="13.5" thickBot="1" x14ac:dyDescent="0.25">
      <c r="A4" s="7" t="s">
        <v>16</v>
      </c>
      <c r="B4" s="7" t="s">
        <v>17</v>
      </c>
      <c r="C4" s="8" t="s">
        <v>19</v>
      </c>
      <c r="D4" s="8" t="s">
        <v>20</v>
      </c>
      <c r="E4" s="8" t="s">
        <v>21</v>
      </c>
      <c r="F4" s="9" t="s">
        <v>463</v>
      </c>
      <c r="G4" s="10" t="s">
        <v>23</v>
      </c>
      <c r="H4" s="12" t="s">
        <v>24</v>
      </c>
      <c r="I4" s="13" t="s">
        <v>25</v>
      </c>
      <c r="J4" s="11" t="s">
        <v>258</v>
      </c>
      <c r="K4" s="10" t="s">
        <v>26</v>
      </c>
      <c r="L4" s="10" t="s">
        <v>29</v>
      </c>
      <c r="M4" s="10"/>
      <c r="S4" s="12" t="s">
        <v>24</v>
      </c>
      <c r="T4" s="13" t="s">
        <v>25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x14ac:dyDescent="0.2">
      <c r="B5" t="str">
        <f>"R"&amp;'Generalized Data'!$A85</f>
        <v>RCDRELC101</v>
      </c>
      <c r="C5" t="s">
        <v>81</v>
      </c>
      <c r="D5" t="s">
        <v>260</v>
      </c>
      <c r="E5" s="91">
        <f t="shared" ref="E5:E27" si="0">L5</f>
        <v>2011</v>
      </c>
      <c r="F5">
        <v>1</v>
      </c>
      <c r="G5" s="18">
        <f>'Generalized Data'!$C$5</f>
        <v>1</v>
      </c>
      <c r="H5" s="87">
        <f>S5*1000</f>
        <v>4.8411519727999996</v>
      </c>
      <c r="I5" s="87">
        <f>T5*1000</f>
        <v>511.13558038399998</v>
      </c>
      <c r="J5" s="4">
        <f>'Generalized Data'!G85</f>
        <v>1</v>
      </c>
      <c r="K5" s="2">
        <f>'Generalized Data'!M85</f>
        <v>15</v>
      </c>
      <c r="L5" s="91">
        <v>2011</v>
      </c>
      <c r="M5" s="4"/>
      <c r="N5" s="4"/>
      <c r="O5" s="4"/>
      <c r="S5" s="50">
        <f>'Generalized Data'!C85</f>
        <v>4.8411519727999995E-3</v>
      </c>
      <c r="T5" s="50">
        <f>'Generalized Data'!E85</f>
        <v>0.51113558038399998</v>
      </c>
    </row>
    <row r="6" spans="1:96" x14ac:dyDescent="0.2">
      <c r="B6" t="str">
        <f>"R"&amp;'Generalized Data'!$A86</f>
        <v>RCDRELC201</v>
      </c>
      <c r="C6" t="s">
        <v>81</v>
      </c>
      <c r="D6" t="s">
        <v>260</v>
      </c>
      <c r="E6" s="91">
        <f t="shared" si="0"/>
        <v>2011</v>
      </c>
      <c r="F6">
        <v>1</v>
      </c>
      <c r="G6" s="18">
        <f>'Generalized Data'!$C$5</f>
        <v>1</v>
      </c>
      <c r="H6" s="87">
        <f t="shared" ref="H6:H27" si="1">S6*1000</f>
        <v>4.6497575924800003</v>
      </c>
      <c r="I6" s="87">
        <f t="shared" ref="I6:I26" si="2">T6*1000</f>
        <v>696.9007142239999</v>
      </c>
      <c r="J6" s="4">
        <f>'Generalized Data'!G86</f>
        <v>1.25</v>
      </c>
      <c r="K6" s="2">
        <f>'Generalized Data'!M86</f>
        <v>15</v>
      </c>
      <c r="L6" s="91">
        <v>2011</v>
      </c>
      <c r="M6" s="4"/>
      <c r="N6" s="4"/>
      <c r="O6" s="4"/>
      <c r="S6" s="50">
        <f>'Generalized Data'!C86</f>
        <v>4.64975759248E-3</v>
      </c>
      <c r="T6" s="50">
        <f>'Generalized Data'!E86</f>
        <v>0.69690071422399991</v>
      </c>
    </row>
    <row r="7" spans="1:96" x14ac:dyDescent="0.2">
      <c r="B7" t="str">
        <f>"R_ES-CK-DH_"&amp;RIGHT(C7,3)&amp;"01"</f>
        <v>R_ES-CK-DH_ELC01</v>
      </c>
      <c r="C7" t="s">
        <v>81</v>
      </c>
      <c r="D7" t="str">
        <f>$O$8</f>
        <v>R_ES-DH-Cook</v>
      </c>
      <c r="E7" s="91">
        <f t="shared" si="0"/>
        <v>2011</v>
      </c>
      <c r="F7">
        <v>1</v>
      </c>
      <c r="G7" s="18">
        <f>'Generalized Data'!$C$5</f>
        <v>1</v>
      </c>
      <c r="H7" s="82">
        <f>I7*0.02</f>
        <v>1.8013588736000001E-2</v>
      </c>
      <c r="I7" s="120">
        <f>T7</f>
        <v>0.90067943679999996</v>
      </c>
      <c r="J7" s="4">
        <f>'Generalized Data'!G87</f>
        <v>1</v>
      </c>
      <c r="K7" s="2">
        <f>'Generalized Data'!M87</f>
        <v>15</v>
      </c>
      <c r="L7" s="91">
        <v>2011</v>
      </c>
      <c r="M7" s="4"/>
      <c r="N7" s="4"/>
      <c r="O7" t="s">
        <v>409</v>
      </c>
      <c r="S7" s="50">
        <f>'Generalized Data'!C87</f>
        <v>1.8013588736000001E-2</v>
      </c>
      <c r="T7" s="50">
        <f>'Generalized Data'!E87</f>
        <v>0.90067943679999996</v>
      </c>
    </row>
    <row r="8" spans="1:96" x14ac:dyDescent="0.2">
      <c r="B8" t="str">
        <f>"R_ES-CK-DH_"&amp;RIGHT(C8,3)&amp;"01"</f>
        <v>R_ES-CK-DH_GAS01</v>
      </c>
      <c r="C8" t="s">
        <v>83</v>
      </c>
      <c r="D8" t="str">
        <f>$O$8</f>
        <v>R_ES-DH-Cook</v>
      </c>
      <c r="E8" s="91">
        <f t="shared" si="0"/>
        <v>2011</v>
      </c>
      <c r="F8">
        <v>1</v>
      </c>
      <c r="G8" s="18">
        <f>'Generalized Data'!$C$5</f>
        <v>1</v>
      </c>
      <c r="H8" s="82">
        <f t="shared" ref="H8:H15" si="3">I8*0.02</f>
        <v>6.7550957759999995E-3</v>
      </c>
      <c r="I8" s="120">
        <f t="shared" ref="I8:I15" si="4">T8</f>
        <v>0.33775478879999998</v>
      </c>
      <c r="J8" s="4">
        <f>'Generalized Data'!G88</f>
        <v>1</v>
      </c>
      <c r="K8" s="2">
        <f>'Generalized Data'!M88</f>
        <v>15</v>
      </c>
      <c r="L8" s="91">
        <v>2011</v>
      </c>
      <c r="M8" s="4"/>
      <c r="N8" s="4"/>
      <c r="O8" t="s">
        <v>410</v>
      </c>
      <c r="R8" s="2"/>
      <c r="S8" s="50">
        <f>'Generalized Data'!C88</f>
        <v>6.7550957759999995E-3</v>
      </c>
      <c r="T8" s="50">
        <f>'Generalized Data'!E88</f>
        <v>0.33775478879999998</v>
      </c>
      <c r="AF8" s="5"/>
    </row>
    <row r="9" spans="1:96" x14ac:dyDescent="0.2">
      <c r="B9" t="str">
        <f>"R_ES-CK-DH_"&amp;RIGHT(C9,3)&amp;"01"</f>
        <v>R_ES-CK-DH_LPG01</v>
      </c>
      <c r="C9" t="s">
        <v>85</v>
      </c>
      <c r="D9" t="str">
        <f>$O$8</f>
        <v>R_ES-DH-Cook</v>
      </c>
      <c r="E9" s="91">
        <f t="shared" si="0"/>
        <v>2011</v>
      </c>
      <c r="F9">
        <v>1</v>
      </c>
      <c r="G9" s="18">
        <f>'Generalized Data'!$C$5</f>
        <v>1</v>
      </c>
      <c r="H9" s="82">
        <f t="shared" si="3"/>
        <v>4.5033971840000003E-3</v>
      </c>
      <c r="I9" s="120">
        <f t="shared" si="4"/>
        <v>0.22516985919999999</v>
      </c>
      <c r="J9" s="4">
        <f>'Generalized Data'!G89</f>
        <v>0.6</v>
      </c>
      <c r="K9" s="2">
        <f>'Generalized Data'!M89</f>
        <v>15</v>
      </c>
      <c r="L9" s="91">
        <v>2011</v>
      </c>
      <c r="M9" s="4"/>
      <c r="N9" s="4"/>
      <c r="O9" t="s">
        <v>411</v>
      </c>
      <c r="R9" s="2"/>
      <c r="S9" s="50">
        <f>'Generalized Data'!C89</f>
        <v>4.5033971840000003E-3</v>
      </c>
      <c r="T9" s="50">
        <f>'Generalized Data'!E89</f>
        <v>0.22516985919999999</v>
      </c>
      <c r="AF9" s="5"/>
    </row>
    <row r="10" spans="1:96" x14ac:dyDescent="0.2">
      <c r="B10" t="str">
        <f>"R_ES-CK-FL_"&amp;RIGHT(C10,3)&amp;"01"</f>
        <v>R_ES-CK-FL_ELC01</v>
      </c>
      <c r="C10" t="s">
        <v>81</v>
      </c>
      <c r="D10" t="str">
        <f>$O$7</f>
        <v>R_ES-FL-Cook</v>
      </c>
      <c r="E10" s="91">
        <f t="shared" si="0"/>
        <v>2011</v>
      </c>
      <c r="F10">
        <f t="shared" ref="F10:L10" si="5">F7</f>
        <v>1</v>
      </c>
      <c r="G10" s="18">
        <f t="shared" si="5"/>
        <v>1</v>
      </c>
      <c r="H10" s="82">
        <f t="shared" si="3"/>
        <v>1.8013588736000001E-2</v>
      </c>
      <c r="I10" s="120">
        <f t="shared" si="4"/>
        <v>0.90067943679999996</v>
      </c>
      <c r="J10" s="4">
        <f t="shared" si="5"/>
        <v>1</v>
      </c>
      <c r="K10" s="2">
        <f t="shared" si="5"/>
        <v>15</v>
      </c>
      <c r="L10" s="91">
        <f t="shared" si="5"/>
        <v>2011</v>
      </c>
      <c r="M10" s="4"/>
      <c r="N10" s="4"/>
      <c r="O10" s="4"/>
      <c r="R10" s="2"/>
      <c r="S10" s="50">
        <f t="shared" ref="S10:T15" si="6">S7</f>
        <v>1.8013588736000001E-2</v>
      </c>
      <c r="T10" s="50">
        <f t="shared" si="6"/>
        <v>0.90067943679999996</v>
      </c>
      <c r="AF10" s="5"/>
    </row>
    <row r="11" spans="1:96" x14ac:dyDescent="0.2">
      <c r="B11" t="str">
        <f>"R_ES-CK-FL_"&amp;RIGHT(C11,3)&amp;"01"</f>
        <v>R_ES-CK-FL_GAS01</v>
      </c>
      <c r="C11" t="s">
        <v>83</v>
      </c>
      <c r="D11" t="str">
        <f>$O$7</f>
        <v>R_ES-FL-Cook</v>
      </c>
      <c r="E11" s="91">
        <f t="shared" si="0"/>
        <v>2011</v>
      </c>
      <c r="F11">
        <f t="shared" ref="F11:L11" si="7">F8</f>
        <v>1</v>
      </c>
      <c r="G11" s="18">
        <f t="shared" si="7"/>
        <v>1</v>
      </c>
      <c r="H11" s="82">
        <f t="shared" si="3"/>
        <v>6.7550957759999995E-3</v>
      </c>
      <c r="I11" s="120">
        <f t="shared" si="4"/>
        <v>0.33775478879999998</v>
      </c>
      <c r="J11" s="4">
        <f t="shared" si="7"/>
        <v>1</v>
      </c>
      <c r="K11" s="2">
        <f t="shared" si="7"/>
        <v>15</v>
      </c>
      <c r="L11" s="91">
        <f t="shared" si="7"/>
        <v>2011</v>
      </c>
      <c r="M11" s="4"/>
      <c r="N11" s="4"/>
      <c r="O11" s="4"/>
      <c r="R11" s="2"/>
      <c r="S11" s="50">
        <f t="shared" si="6"/>
        <v>6.7550957759999995E-3</v>
      </c>
      <c r="T11" s="50">
        <f t="shared" si="6"/>
        <v>0.33775478879999998</v>
      </c>
      <c r="AF11" s="5"/>
    </row>
    <row r="12" spans="1:96" x14ac:dyDescent="0.2">
      <c r="B12" t="str">
        <f>"R_ES-CK-FL_"&amp;RIGHT(C12,3)&amp;"01"</f>
        <v>R_ES-CK-FL_LPG01</v>
      </c>
      <c r="C12" t="s">
        <v>85</v>
      </c>
      <c r="D12" t="str">
        <f>$O$7</f>
        <v>R_ES-FL-Cook</v>
      </c>
      <c r="E12" s="91">
        <f t="shared" si="0"/>
        <v>2011</v>
      </c>
      <c r="F12">
        <f t="shared" ref="F12:L12" si="8">F9</f>
        <v>1</v>
      </c>
      <c r="G12" s="18">
        <f t="shared" si="8"/>
        <v>1</v>
      </c>
      <c r="H12" s="82">
        <f t="shared" si="3"/>
        <v>4.5033971840000003E-3</v>
      </c>
      <c r="I12" s="120">
        <f t="shared" si="4"/>
        <v>0.22516985919999999</v>
      </c>
      <c r="J12" s="4">
        <f t="shared" si="8"/>
        <v>0.6</v>
      </c>
      <c r="K12" s="2">
        <f t="shared" si="8"/>
        <v>15</v>
      </c>
      <c r="L12" s="91">
        <f t="shared" si="8"/>
        <v>2011</v>
      </c>
      <c r="M12" s="4"/>
      <c r="N12" s="4"/>
      <c r="O12" s="4"/>
      <c r="R12" s="2"/>
      <c r="S12" s="50">
        <f t="shared" si="6"/>
        <v>4.5033971840000003E-3</v>
      </c>
      <c r="T12" s="50">
        <f t="shared" si="6"/>
        <v>0.22516985919999999</v>
      </c>
      <c r="AF12" s="5"/>
    </row>
    <row r="13" spans="1:96" x14ac:dyDescent="0.2">
      <c r="B13" t="str">
        <f>"R_ES-CK-SD_"&amp;RIGHT(C13,3)&amp;"01"</f>
        <v>R_ES-CK-SD_ELC01</v>
      </c>
      <c r="C13" t="s">
        <v>81</v>
      </c>
      <c r="D13" t="str">
        <f>$O$9</f>
        <v>R_ES-SD-Cook</v>
      </c>
      <c r="E13" s="91">
        <f t="shared" si="0"/>
        <v>2011</v>
      </c>
      <c r="F13">
        <f t="shared" ref="F13:L13" si="9">F10</f>
        <v>1</v>
      </c>
      <c r="G13" s="18">
        <f t="shared" si="9"/>
        <v>1</v>
      </c>
      <c r="H13" s="82">
        <f t="shared" si="3"/>
        <v>1.8013588736000001E-2</v>
      </c>
      <c r="I13" s="120">
        <f t="shared" si="4"/>
        <v>0.90067943679999996</v>
      </c>
      <c r="J13" s="4">
        <f t="shared" si="9"/>
        <v>1</v>
      </c>
      <c r="K13" s="2">
        <f t="shared" si="9"/>
        <v>15</v>
      </c>
      <c r="L13" s="91">
        <f t="shared" si="9"/>
        <v>2011</v>
      </c>
      <c r="M13" s="4"/>
      <c r="N13" s="4"/>
      <c r="O13" s="4"/>
      <c r="R13" s="2"/>
      <c r="S13" s="50">
        <f t="shared" si="6"/>
        <v>1.8013588736000001E-2</v>
      </c>
      <c r="T13" s="50">
        <f t="shared" si="6"/>
        <v>0.90067943679999996</v>
      </c>
      <c r="AF13" s="5"/>
    </row>
    <row r="14" spans="1:96" x14ac:dyDescent="0.2">
      <c r="B14" t="str">
        <f>"R_ES-CK-SD_"&amp;RIGHT(C14,3)&amp;"01"</f>
        <v>R_ES-CK-SD_GAS01</v>
      </c>
      <c r="C14" t="s">
        <v>83</v>
      </c>
      <c r="D14" t="str">
        <f>$O$9</f>
        <v>R_ES-SD-Cook</v>
      </c>
      <c r="E14" s="91">
        <f t="shared" si="0"/>
        <v>2011</v>
      </c>
      <c r="F14">
        <f t="shared" ref="F14:L14" si="10">F11</f>
        <v>1</v>
      </c>
      <c r="G14" s="18">
        <f t="shared" si="10"/>
        <v>1</v>
      </c>
      <c r="H14" s="82">
        <f t="shared" si="3"/>
        <v>6.7550957759999995E-3</v>
      </c>
      <c r="I14" s="120">
        <f t="shared" si="4"/>
        <v>0.33775478879999998</v>
      </c>
      <c r="J14" s="4">
        <f t="shared" si="10"/>
        <v>1</v>
      </c>
      <c r="K14" s="2">
        <f t="shared" si="10"/>
        <v>15</v>
      </c>
      <c r="L14" s="91">
        <f t="shared" si="10"/>
        <v>2011</v>
      </c>
      <c r="M14" s="4"/>
      <c r="N14" s="4"/>
      <c r="O14" s="4"/>
      <c r="R14" s="2"/>
      <c r="S14" s="50">
        <f t="shared" si="6"/>
        <v>6.7550957759999995E-3</v>
      </c>
      <c r="T14" s="50">
        <f t="shared" si="6"/>
        <v>0.33775478879999998</v>
      </c>
      <c r="AF14" s="5"/>
    </row>
    <row r="15" spans="1:96" x14ac:dyDescent="0.2">
      <c r="B15" t="str">
        <f>"R_ES-CK-SD_"&amp;RIGHT(C15,3)&amp;"01"</f>
        <v>R_ES-CK-SD_LPG01</v>
      </c>
      <c r="C15" t="s">
        <v>85</v>
      </c>
      <c r="D15" t="str">
        <f>$O$9</f>
        <v>R_ES-SD-Cook</v>
      </c>
      <c r="E15" s="91">
        <f t="shared" si="0"/>
        <v>2011</v>
      </c>
      <c r="F15">
        <f t="shared" ref="F15:L15" si="11">F12</f>
        <v>1</v>
      </c>
      <c r="G15" s="18">
        <f t="shared" si="11"/>
        <v>1</v>
      </c>
      <c r="H15" s="82">
        <f t="shared" si="3"/>
        <v>4.5033971840000003E-3</v>
      </c>
      <c r="I15" s="120">
        <f t="shared" si="4"/>
        <v>0.22516985919999999</v>
      </c>
      <c r="J15" s="4">
        <f t="shared" si="11"/>
        <v>0.6</v>
      </c>
      <c r="K15" s="2">
        <f t="shared" si="11"/>
        <v>15</v>
      </c>
      <c r="L15" s="91">
        <f t="shared" si="11"/>
        <v>2011</v>
      </c>
      <c r="M15" s="4"/>
      <c r="N15" s="4"/>
      <c r="O15" s="4"/>
      <c r="R15" s="2"/>
      <c r="S15" s="50">
        <f t="shared" si="6"/>
        <v>4.5033971840000003E-3</v>
      </c>
      <c r="T15" s="50">
        <f t="shared" si="6"/>
        <v>0.22516985919999999</v>
      </c>
      <c r="AF15" s="5"/>
    </row>
    <row r="16" spans="1:96" x14ac:dyDescent="0.2">
      <c r="B16" t="str">
        <f>"R"&amp;'Generalized Data'!$A90</f>
        <v>RCWAELC101</v>
      </c>
      <c r="C16" t="s">
        <v>81</v>
      </c>
      <c r="D16" t="s">
        <v>263</v>
      </c>
      <c r="E16" s="91">
        <f t="shared" si="0"/>
        <v>2011</v>
      </c>
      <c r="F16">
        <v>1</v>
      </c>
      <c r="G16" s="18">
        <f>'Generalized Data'!$C$5</f>
        <v>1</v>
      </c>
      <c r="H16" s="87">
        <f t="shared" si="1"/>
        <v>5.6292464799999999</v>
      </c>
      <c r="I16" s="87">
        <f t="shared" si="2"/>
        <v>675.50957759999994</v>
      </c>
      <c r="J16" s="4">
        <f>'Generalized Data'!G90</f>
        <v>1</v>
      </c>
      <c r="K16" s="2">
        <f>'Generalized Data'!M90</f>
        <v>15</v>
      </c>
      <c r="L16" s="91">
        <v>2011</v>
      </c>
      <c r="M16" s="4"/>
      <c r="N16" s="4"/>
      <c r="O16" s="4"/>
      <c r="R16" s="2"/>
      <c r="S16" s="50">
        <f>'Generalized Data'!C90</f>
        <v>5.6292464799999999E-3</v>
      </c>
      <c r="T16" s="50">
        <f>'Generalized Data'!E90</f>
        <v>0.67550957759999997</v>
      </c>
      <c r="AF16" s="5"/>
    </row>
    <row r="17" spans="1:32" x14ac:dyDescent="0.2">
      <c r="B17" t="str">
        <f>"R"&amp;'Generalized Data'!$A91</f>
        <v>RCWAELC201</v>
      </c>
      <c r="C17" t="s">
        <v>81</v>
      </c>
      <c r="D17" t="s">
        <v>263</v>
      </c>
      <c r="E17" s="91">
        <f t="shared" si="0"/>
        <v>2011</v>
      </c>
      <c r="F17">
        <v>1</v>
      </c>
      <c r="G17" s="18">
        <f>'Generalized Data'!$C$5</f>
        <v>1</v>
      </c>
      <c r="H17" s="87">
        <f t="shared" si="1"/>
        <v>10.132643664</v>
      </c>
      <c r="I17" s="87">
        <f t="shared" si="2"/>
        <v>1013.2643664000001</v>
      </c>
      <c r="J17" s="4">
        <f>'Generalized Data'!G91</f>
        <v>1.54</v>
      </c>
      <c r="K17" s="2">
        <f>'Generalized Data'!M91</f>
        <v>15</v>
      </c>
      <c r="L17" s="91">
        <v>2011</v>
      </c>
      <c r="M17" s="4"/>
      <c r="N17" s="4"/>
      <c r="O17" s="4"/>
      <c r="R17" s="2"/>
      <c r="S17" s="50">
        <f>'Generalized Data'!C91</f>
        <v>1.0132643663999999E-2</v>
      </c>
      <c r="T17" s="50">
        <f>'Generalized Data'!E91</f>
        <v>1.0132643664000001</v>
      </c>
      <c r="AF17" s="5"/>
    </row>
    <row r="18" spans="1:32" x14ac:dyDescent="0.2">
      <c r="B18" t="str">
        <f>"R"&amp;'Generalized Data'!$A92</f>
        <v>RCWAELC301</v>
      </c>
      <c r="C18" t="s">
        <v>81</v>
      </c>
      <c r="D18" t="s">
        <v>263</v>
      </c>
      <c r="E18" s="91">
        <f t="shared" si="0"/>
        <v>2011</v>
      </c>
      <c r="F18">
        <v>1</v>
      </c>
      <c r="G18" s="18">
        <f>'Generalized Data'!$C$5</f>
        <v>1</v>
      </c>
      <c r="H18" s="87">
        <f t="shared" si="1"/>
        <v>9.5697190160000005</v>
      </c>
      <c r="I18" s="87">
        <f t="shared" si="2"/>
        <v>619.2171128</v>
      </c>
      <c r="J18" s="4">
        <f>'Generalized Data'!G92</f>
        <v>1</v>
      </c>
      <c r="K18" s="2">
        <f>'Generalized Data'!M92</f>
        <v>15</v>
      </c>
      <c r="L18" s="91">
        <v>2011</v>
      </c>
      <c r="M18" s="4"/>
      <c r="N18" s="4"/>
      <c r="O18" s="4"/>
      <c r="R18" s="2"/>
      <c r="S18" s="50">
        <f>'Generalized Data'!C92</f>
        <v>9.5697190160000008E-3</v>
      </c>
      <c r="T18" s="50">
        <f>'Generalized Data'!E92</f>
        <v>0.61921711280000002</v>
      </c>
      <c r="AF18" s="5"/>
    </row>
    <row r="19" spans="1:32" x14ac:dyDescent="0.2">
      <c r="B19" t="str">
        <f>"R"&amp;'Generalized Data'!$A93</f>
        <v>RCWAELC401</v>
      </c>
      <c r="C19" t="s">
        <v>81</v>
      </c>
      <c r="D19" t="s">
        <v>263</v>
      </c>
      <c r="E19" s="91">
        <f t="shared" si="0"/>
        <v>2011</v>
      </c>
      <c r="F19">
        <v>1</v>
      </c>
      <c r="G19" s="18">
        <f>'Generalized Data'!$C$5</f>
        <v>1</v>
      </c>
      <c r="H19" s="87">
        <f t="shared" si="1"/>
        <v>9.0067943680000013</v>
      </c>
      <c r="I19" s="87">
        <f t="shared" si="2"/>
        <v>1207.4733699599999</v>
      </c>
      <c r="J19" s="4">
        <f>'Generalized Data'!G93</f>
        <v>1.41</v>
      </c>
      <c r="K19" s="2">
        <f>'Generalized Data'!M93</f>
        <v>15</v>
      </c>
      <c r="L19" s="91">
        <v>2011</v>
      </c>
      <c r="M19" s="4"/>
      <c r="N19" s="4"/>
      <c r="O19" s="4"/>
      <c r="R19" s="2"/>
      <c r="S19" s="50">
        <f>'Generalized Data'!C93</f>
        <v>9.0067943680000005E-3</v>
      </c>
      <c r="T19" s="50">
        <f>'Generalized Data'!E93</f>
        <v>1.20747336996</v>
      </c>
      <c r="AF19" s="5"/>
    </row>
    <row r="20" spans="1:32" x14ac:dyDescent="0.2">
      <c r="B20" t="str">
        <f>"R"&amp;'Generalized Data'!$A94</f>
        <v>RDWAELC101</v>
      </c>
      <c r="C20" t="s">
        <v>81</v>
      </c>
      <c r="D20" t="s">
        <v>268</v>
      </c>
      <c r="E20" s="91">
        <f t="shared" si="0"/>
        <v>2011</v>
      </c>
      <c r="F20">
        <v>1</v>
      </c>
      <c r="G20" s="18">
        <f>'Generalized Data'!$C$5</f>
        <v>1</v>
      </c>
      <c r="H20" s="87">
        <f t="shared" si="1"/>
        <v>7.7683601423999988</v>
      </c>
      <c r="I20" s="87">
        <f t="shared" si="2"/>
        <v>171.12909299199998</v>
      </c>
      <c r="J20" s="4">
        <f>'Generalized Data'!G94</f>
        <v>1</v>
      </c>
      <c r="K20" s="2">
        <f>'Generalized Data'!M94</f>
        <v>15</v>
      </c>
      <c r="L20" s="91">
        <v>2011</v>
      </c>
      <c r="M20" s="4"/>
      <c r="N20" s="4"/>
      <c r="O20" s="4"/>
      <c r="R20" s="2"/>
      <c r="S20" s="50">
        <f>'Generalized Data'!C94</f>
        <v>7.7683601423999991E-3</v>
      </c>
      <c r="T20" s="50">
        <f>'Generalized Data'!E94</f>
        <v>0.17112909299199999</v>
      </c>
      <c r="AF20" s="5"/>
    </row>
    <row r="21" spans="1:32" x14ac:dyDescent="0.2">
      <c r="B21" t="str">
        <f>"R"&amp;'Generalized Data'!$A95</f>
        <v>RDWAELC201</v>
      </c>
      <c r="C21" t="s">
        <v>81</v>
      </c>
      <c r="D21" t="s">
        <v>268</v>
      </c>
      <c r="E21" s="91">
        <f t="shared" si="0"/>
        <v>2011</v>
      </c>
      <c r="F21">
        <v>1</v>
      </c>
      <c r="G21" s="18">
        <f>'Generalized Data'!$C$5</f>
        <v>1</v>
      </c>
      <c r="H21" s="87">
        <f t="shared" si="1"/>
        <v>3.3775478879999996</v>
      </c>
      <c r="I21" s="87">
        <f t="shared" si="2"/>
        <v>356.89422683200002</v>
      </c>
      <c r="J21" s="4">
        <f>'Generalized Data'!G95</f>
        <v>2</v>
      </c>
      <c r="K21" s="2">
        <f>'Generalized Data'!M95</f>
        <v>15</v>
      </c>
      <c r="L21" s="91">
        <v>2011</v>
      </c>
      <c r="M21" s="4"/>
      <c r="N21" s="4"/>
      <c r="O21" s="4"/>
      <c r="R21" s="2"/>
      <c r="S21" s="50">
        <f>'Generalized Data'!C95</f>
        <v>3.3775478879999998E-3</v>
      </c>
      <c r="T21" s="50">
        <f>'Generalized Data'!E95</f>
        <v>0.35689422683200001</v>
      </c>
      <c r="AF21" s="5"/>
    </row>
    <row r="22" spans="1:32" x14ac:dyDescent="0.2">
      <c r="B22" t="str">
        <f>"R"&amp;'Generalized Data'!$A96</f>
        <v>RLIGELC201</v>
      </c>
      <c r="C22" t="s">
        <v>81</v>
      </c>
      <c r="D22" t="s">
        <v>270</v>
      </c>
      <c r="E22" s="91">
        <f t="shared" si="0"/>
        <v>2011</v>
      </c>
      <c r="F22">
        <v>1</v>
      </c>
      <c r="G22" s="18">
        <f>'Generalized Data'!$C$5</f>
        <v>1</v>
      </c>
      <c r="H22" s="87">
        <f t="shared" si="1"/>
        <v>0</v>
      </c>
      <c r="I22" s="87">
        <f t="shared" si="2"/>
        <v>2.2516985920000003</v>
      </c>
      <c r="J22" s="4">
        <f>'Generalized Data'!G96</f>
        <v>1.5</v>
      </c>
      <c r="K22" s="2">
        <f>'Generalized Data'!M96</f>
        <v>2</v>
      </c>
      <c r="L22" s="91">
        <v>2011</v>
      </c>
      <c r="M22" s="4"/>
      <c r="N22" s="4"/>
      <c r="O22" s="4"/>
      <c r="R22" s="2"/>
      <c r="S22" s="50">
        <f>'Generalized Data'!C96</f>
        <v>0</v>
      </c>
      <c r="T22" s="50">
        <f>'Generalized Data'!E96</f>
        <v>2.2516985920000001E-3</v>
      </c>
      <c r="AF22" s="5"/>
    </row>
    <row r="23" spans="1:32" x14ac:dyDescent="0.2">
      <c r="B23" t="str">
        <f>"R"&amp;'Generalized Data'!$A97</f>
        <v>RLIGELC301</v>
      </c>
      <c r="C23" t="s">
        <v>81</v>
      </c>
      <c r="D23" t="s">
        <v>270</v>
      </c>
      <c r="E23" s="91">
        <f t="shared" si="0"/>
        <v>2011</v>
      </c>
      <c r="F23">
        <v>1</v>
      </c>
      <c r="G23" s="18">
        <f>'Generalized Data'!$C$5</f>
        <v>1</v>
      </c>
      <c r="H23" s="87">
        <f t="shared" si="1"/>
        <v>0</v>
      </c>
      <c r="I23" s="87">
        <f t="shared" si="2"/>
        <v>6.1921711279999991</v>
      </c>
      <c r="J23" s="4">
        <f>'Generalized Data'!G97</f>
        <v>2.8</v>
      </c>
      <c r="K23" s="2">
        <f>'Generalized Data'!M97</f>
        <v>5</v>
      </c>
      <c r="L23" s="91">
        <v>2011</v>
      </c>
      <c r="M23" s="4"/>
      <c r="N23" s="4"/>
      <c r="O23" s="4"/>
      <c r="R23" s="2"/>
      <c r="S23" s="50">
        <f>'Generalized Data'!C97</f>
        <v>0</v>
      </c>
      <c r="T23" s="50">
        <f>'Generalized Data'!E97</f>
        <v>6.1921711279999993E-3</v>
      </c>
      <c r="AF23" s="5"/>
    </row>
    <row r="24" spans="1:32" x14ac:dyDescent="0.2">
      <c r="B24" t="str">
        <f>"R"&amp;'Generalized Data'!$A98</f>
        <v>RLIGELC401</v>
      </c>
      <c r="C24" t="s">
        <v>81</v>
      </c>
      <c r="D24" t="s">
        <v>270</v>
      </c>
      <c r="E24" s="91">
        <f t="shared" si="0"/>
        <v>2011</v>
      </c>
      <c r="F24">
        <v>1</v>
      </c>
      <c r="G24" s="18">
        <f>'Generalized Data'!$C$5</f>
        <v>1</v>
      </c>
      <c r="H24" s="87">
        <f t="shared" si="1"/>
        <v>0</v>
      </c>
      <c r="I24" s="87">
        <f t="shared" si="2"/>
        <v>9.7385964103999996</v>
      </c>
      <c r="J24" s="4">
        <f>'Generalized Data'!G98</f>
        <v>5.71</v>
      </c>
      <c r="K24" s="2">
        <f>'Generalized Data'!M98</f>
        <v>8</v>
      </c>
      <c r="L24" s="91">
        <v>2011</v>
      </c>
      <c r="M24" s="4"/>
      <c r="N24" s="4"/>
      <c r="O24" s="4"/>
      <c r="R24" s="2"/>
      <c r="S24" s="50">
        <f>'Generalized Data'!C98</f>
        <v>0</v>
      </c>
      <c r="T24" s="50">
        <f>'Generalized Data'!E98</f>
        <v>9.7385964103999991E-3</v>
      </c>
      <c r="AF24" s="5"/>
    </row>
    <row r="25" spans="1:32" x14ac:dyDescent="0.2">
      <c r="B25" t="str">
        <f>"R"&amp;'Generalized Data'!$A99</f>
        <v>ROELELC101</v>
      </c>
      <c r="C25" t="s">
        <v>81</v>
      </c>
      <c r="D25" t="s">
        <v>274</v>
      </c>
      <c r="E25" s="91">
        <f t="shared" si="0"/>
        <v>2011</v>
      </c>
      <c r="F25">
        <v>1</v>
      </c>
      <c r="G25" s="18">
        <f>'Generalized Data'!$C$5</f>
        <v>1</v>
      </c>
      <c r="H25" s="87">
        <f t="shared" si="1"/>
        <v>8.4438697199999986</v>
      </c>
      <c r="I25" s="87">
        <f t="shared" si="2"/>
        <v>844.3869719999999</v>
      </c>
      <c r="J25" s="4">
        <f>'Generalized Data'!G99</f>
        <v>1</v>
      </c>
      <c r="K25" s="2">
        <f>'Generalized Data'!M99</f>
        <v>15</v>
      </c>
      <c r="L25" s="91">
        <v>2011</v>
      </c>
      <c r="M25" s="4"/>
      <c r="N25" s="4"/>
      <c r="O25" s="4"/>
      <c r="R25" s="2"/>
      <c r="S25" s="50">
        <f>'Generalized Data'!C99</f>
        <v>8.4438697199999985E-3</v>
      </c>
      <c r="T25" s="50">
        <f>'Generalized Data'!E99</f>
        <v>0.8443869719999999</v>
      </c>
      <c r="AF25" s="5"/>
    </row>
    <row r="26" spans="1:32" x14ac:dyDescent="0.2">
      <c r="B26" t="str">
        <f>"R"&amp;'Generalized Data'!$A100</f>
        <v>RREFELC501</v>
      </c>
      <c r="C26" t="s">
        <v>81</v>
      </c>
      <c r="D26" t="s">
        <v>272</v>
      </c>
      <c r="E26" s="91">
        <f t="shared" si="0"/>
        <v>2011</v>
      </c>
      <c r="F26">
        <v>1</v>
      </c>
      <c r="G26" s="18">
        <f>'Generalized Data'!$C$5</f>
        <v>1</v>
      </c>
      <c r="H26" s="87">
        <f t="shared" si="1"/>
        <v>8.6690395791999997</v>
      </c>
      <c r="I26" s="87">
        <f t="shared" si="2"/>
        <v>428.94858177599997</v>
      </c>
      <c r="J26" s="4">
        <f>'Generalized Data'!G100</f>
        <v>1.56</v>
      </c>
      <c r="K26" s="2">
        <f>'Generalized Data'!M100</f>
        <v>15</v>
      </c>
      <c r="L26" s="91">
        <v>2011</v>
      </c>
      <c r="M26" s="4"/>
      <c r="N26" s="4"/>
      <c r="O26" s="4"/>
      <c r="R26" s="2"/>
      <c r="S26" s="50">
        <f>'Generalized Data'!C100</f>
        <v>8.6690395792000004E-3</v>
      </c>
      <c r="T26" s="50">
        <f>'Generalized Data'!E100</f>
        <v>0.42894858177599998</v>
      </c>
      <c r="AF26" s="5"/>
    </row>
    <row r="27" spans="1:32" x14ac:dyDescent="0.2">
      <c r="B27" t="str">
        <f>"R"&amp;'Generalized Data'!$A101</f>
        <v>RREFELC601</v>
      </c>
      <c r="C27" t="s">
        <v>81</v>
      </c>
      <c r="D27" t="s">
        <v>272</v>
      </c>
      <c r="E27" s="91">
        <f t="shared" si="0"/>
        <v>2011</v>
      </c>
      <c r="F27">
        <v>1</v>
      </c>
      <c r="G27" s="18">
        <f>'Generalized Data'!$C$5</f>
        <v>1</v>
      </c>
      <c r="H27" s="87">
        <f t="shared" si="1"/>
        <v>25.331609159999996</v>
      </c>
      <c r="I27" s="87">
        <f>T27*1000</f>
        <v>654.11844097599987</v>
      </c>
      <c r="J27" s="4">
        <f>'Generalized Data'!G101</f>
        <v>2.92</v>
      </c>
      <c r="K27" s="2">
        <f>'Generalized Data'!M101</f>
        <v>15</v>
      </c>
      <c r="L27" s="91">
        <v>2011</v>
      </c>
      <c r="M27" s="4"/>
      <c r="N27" s="4"/>
      <c r="O27" s="4"/>
      <c r="R27" s="2"/>
      <c r="S27" s="50">
        <f>'Generalized Data'!C101</f>
        <v>2.5331609159999997E-2</v>
      </c>
      <c r="T27" s="50">
        <f>'Generalized Data'!E101</f>
        <v>0.65411844097599992</v>
      </c>
      <c r="AF27" s="5"/>
    </row>
    <row r="30" spans="1:32" ht="15" x14ac:dyDescent="0.25">
      <c r="A30" s="17" t="s">
        <v>480</v>
      </c>
    </row>
    <row r="31" spans="1:32" ht="15" x14ac:dyDescent="0.25">
      <c r="A31" s="108"/>
    </row>
    <row r="32" spans="1:32" x14ac:dyDescent="0.2">
      <c r="E32" s="1" t="s">
        <v>385</v>
      </c>
    </row>
    <row r="33" spans="1:105" ht="13.5" thickBot="1" x14ac:dyDescent="0.25">
      <c r="A33" s="7" t="s">
        <v>16</v>
      </c>
      <c r="B33" s="7" t="s">
        <v>17</v>
      </c>
      <c r="C33" s="8" t="s">
        <v>19</v>
      </c>
      <c r="D33" s="8" t="s">
        <v>20</v>
      </c>
      <c r="E33" s="8" t="s">
        <v>21</v>
      </c>
      <c r="F33" s="9" t="s">
        <v>463</v>
      </c>
      <c r="G33" s="10" t="s">
        <v>23</v>
      </c>
      <c r="H33" s="12" t="s">
        <v>25</v>
      </c>
      <c r="I33" s="13" t="s">
        <v>391</v>
      </c>
      <c r="J33" s="11" t="s">
        <v>258</v>
      </c>
      <c r="K33" s="10" t="s">
        <v>389</v>
      </c>
      <c r="L33" s="10" t="s">
        <v>26</v>
      </c>
      <c r="M33" s="10" t="s">
        <v>29</v>
      </c>
    </row>
    <row r="34" spans="1:105" s="16" customFormat="1" x14ac:dyDescent="0.2">
      <c r="A34" s="41"/>
      <c r="B34" t="str">
        <f>"C_ES-SP-HO_"&amp;RIGHT(C34,3)&amp;"PEM"</f>
        <v>C_ES-SP-HO_GASPEM</v>
      </c>
      <c r="C34" s="26" t="s">
        <v>35</v>
      </c>
      <c r="D34" s="42" t="s">
        <v>294</v>
      </c>
      <c r="E34" s="93">
        <f>M34</f>
        <v>2011</v>
      </c>
      <c r="F34">
        <v>1</v>
      </c>
      <c r="G34" s="18">
        <f>'Generalized Data'!$C$4</f>
        <v>31.536000000000001</v>
      </c>
      <c r="H34" s="20">
        <f>'Generalized Data'!D176</f>
        <v>50000</v>
      </c>
      <c r="I34" s="20">
        <f>'Generalized Data'!E176</f>
        <v>55.555555555555557</v>
      </c>
      <c r="J34" s="50">
        <f>'Generalized Data'!F176</f>
        <v>0.36</v>
      </c>
      <c r="K34" s="50">
        <f>'Generalized Data'!G176</f>
        <v>1.4444444444444446</v>
      </c>
      <c r="L34" s="20">
        <f>'Generalized Data'!H176</f>
        <v>20</v>
      </c>
      <c r="M34" s="91">
        <v>2011</v>
      </c>
      <c r="N34" s="3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9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</row>
    <row r="35" spans="1:105" s="16" customFormat="1" x14ac:dyDescent="0.2">
      <c r="A35" s="41"/>
      <c r="B35"/>
      <c r="C35" s="26"/>
      <c r="D35" s="28" t="str">
        <f>COM_HO!$X$6</f>
        <v>NR_ES-HO-SpHeat</v>
      </c>
      <c r="E35" s="42">
        <v>2020</v>
      </c>
      <c r="F35"/>
      <c r="G35" s="18"/>
      <c r="H35" s="20">
        <f>'Generalized Data'!D177</f>
        <v>15000</v>
      </c>
      <c r="I35" s="20">
        <f>'Generalized Data'!E177</f>
        <v>31.944444444444443</v>
      </c>
      <c r="J35" s="50">
        <f>'Generalized Data'!F177</f>
        <v>0.37</v>
      </c>
      <c r="K35" s="50">
        <f>'Generalized Data'!G177</f>
        <v>1.4054054054054055</v>
      </c>
      <c r="L35" s="20"/>
      <c r="M35" s="20"/>
      <c r="N35" s="3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9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</row>
    <row r="36" spans="1:105" s="16" customFormat="1" x14ac:dyDescent="0.2">
      <c r="A36" s="41"/>
      <c r="B36"/>
      <c r="C36" s="26"/>
      <c r="D36" s="42"/>
      <c r="E36" s="42">
        <v>2030</v>
      </c>
      <c r="F36"/>
      <c r="G36" s="18"/>
      <c r="H36" s="20">
        <f>'Generalized Data'!D178</f>
        <v>11500</v>
      </c>
      <c r="I36" s="20">
        <f>'Generalized Data'!E178</f>
        <v>19.444444444444443</v>
      </c>
      <c r="J36" s="50">
        <f>'Generalized Data'!F178</f>
        <v>0.38</v>
      </c>
      <c r="K36" s="50">
        <f>'Generalized Data'!G178</f>
        <v>1.368421052631579</v>
      </c>
      <c r="L36" s="20"/>
      <c r="M36" s="20"/>
      <c r="N36" s="3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9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</row>
    <row r="37" spans="1:105" s="16" customFormat="1" x14ac:dyDescent="0.2">
      <c r="A37" s="41"/>
      <c r="B37"/>
      <c r="C37" s="26"/>
      <c r="D37" s="42"/>
      <c r="E37" s="42">
        <v>2040</v>
      </c>
      <c r="F37"/>
      <c r="G37" s="18"/>
      <c r="H37" s="20">
        <f>'Generalized Data'!D179</f>
        <v>8500</v>
      </c>
      <c r="I37" s="20">
        <f>'Generalized Data'!E179</f>
        <v>13.888888888888889</v>
      </c>
      <c r="J37" s="50">
        <f>'Generalized Data'!F179</f>
        <v>0.39</v>
      </c>
      <c r="K37" s="50">
        <f>'Generalized Data'!G179</f>
        <v>1.3333333333333333</v>
      </c>
      <c r="L37" s="20"/>
      <c r="M37" s="20"/>
      <c r="N37" s="3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9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</row>
    <row r="38" spans="1:105" s="16" customFormat="1" x14ac:dyDescent="0.2">
      <c r="A38" s="41"/>
      <c r="B38"/>
      <c r="C38" s="26"/>
      <c r="E38" s="42">
        <v>2050</v>
      </c>
      <c r="F38"/>
      <c r="G38" s="18"/>
      <c r="H38" s="20">
        <f>'Generalized Data'!D180</f>
        <v>7800</v>
      </c>
      <c r="I38" s="20">
        <f>'Generalized Data'!E180</f>
        <v>12.5</v>
      </c>
      <c r="J38" s="50">
        <f>'Generalized Data'!F180</f>
        <v>0.39</v>
      </c>
      <c r="K38" s="50">
        <f>'Generalized Data'!G180</f>
        <v>1.3333333333333333</v>
      </c>
      <c r="L38" s="20"/>
      <c r="M38" s="20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9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</row>
    <row r="39" spans="1:105" s="16" customFormat="1" x14ac:dyDescent="0.2">
      <c r="A39" s="41"/>
      <c r="B39" t="str">
        <f>"C_ES-SP-HO_"&amp;RIGHT(C39,3)&amp;"SOFC"</f>
        <v>C_ES-SP-HO_GASSOFC</v>
      </c>
      <c r="C39" s="26" t="s">
        <v>35</v>
      </c>
      <c r="D39" s="42" t="s">
        <v>294</v>
      </c>
      <c r="E39" s="93">
        <f>M39</f>
        <v>2011</v>
      </c>
      <c r="F39">
        <v>1</v>
      </c>
      <c r="G39" s="18">
        <f>'Generalized Data'!$C$4</f>
        <v>31.536000000000001</v>
      </c>
      <c r="H39" s="20">
        <f>'Generalized Data'!D183</f>
        <v>18000</v>
      </c>
      <c r="I39" s="20">
        <f>'Generalized Data'!E183</f>
        <v>33.333333333333336</v>
      </c>
      <c r="J39" s="50">
        <f>'Generalized Data'!F183</f>
        <v>0.53</v>
      </c>
      <c r="K39" s="50">
        <f>'Generalized Data'!G183</f>
        <v>0.60377358490566035</v>
      </c>
      <c r="L39" s="20">
        <f>'Generalized Data'!H183</f>
        <v>20</v>
      </c>
      <c r="M39" s="91">
        <v>2011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9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</row>
    <row r="40" spans="1:105" s="16" customFormat="1" x14ac:dyDescent="0.2">
      <c r="A40" s="41"/>
      <c r="B40"/>
      <c r="C40" s="26"/>
      <c r="D40" s="28" t="str">
        <f>COM_HO!$X$6</f>
        <v>NR_ES-HO-SpHeat</v>
      </c>
      <c r="E40" s="42">
        <v>2020</v>
      </c>
      <c r="F40"/>
      <c r="G40" s="18"/>
      <c r="H40" s="20">
        <f>'Generalized Data'!D184</f>
        <v>6300</v>
      </c>
      <c r="I40" s="20">
        <f>'Generalized Data'!E184</f>
        <v>18.055555555555554</v>
      </c>
      <c r="J40" s="50">
        <f>'Generalized Data'!F184</f>
        <v>0.53</v>
      </c>
      <c r="K40" s="50">
        <f>'Generalized Data'!G184</f>
        <v>0.60377358490566035</v>
      </c>
      <c r="L40" s="3"/>
      <c r="M40" s="2"/>
      <c r="N40" s="3"/>
      <c r="Q40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9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</row>
    <row r="41" spans="1:105" s="16" customFormat="1" ht="13.5" customHeight="1" x14ac:dyDescent="0.2">
      <c r="A41" s="41"/>
      <c r="B41" s="41"/>
      <c r="C41" s="42"/>
      <c r="D41" s="42"/>
      <c r="E41" s="42">
        <v>2030</v>
      </c>
      <c r="F41" s="42"/>
      <c r="G41" s="42"/>
      <c r="H41" s="20">
        <f>'Generalized Data'!D185</f>
        <v>4000</v>
      </c>
      <c r="I41" s="20">
        <f>'Generalized Data'!E185</f>
        <v>6.9444444444444446</v>
      </c>
      <c r="J41" s="50">
        <f>'Generalized Data'!F185</f>
        <v>0.55000000000000004</v>
      </c>
      <c r="K41" s="50">
        <f>'Generalized Data'!G185</f>
        <v>0.58181818181818179</v>
      </c>
      <c r="L41" s="3"/>
      <c r="M41" s="2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9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</row>
    <row r="42" spans="1:105" s="16" customFormat="1" ht="13.5" customHeight="1" x14ac:dyDescent="0.2">
      <c r="A42" s="41"/>
      <c r="B42" s="41"/>
      <c r="C42" s="42"/>
      <c r="D42" s="42"/>
      <c r="E42" s="42">
        <v>2040</v>
      </c>
      <c r="F42" s="42"/>
      <c r="G42" s="42"/>
      <c r="H42" s="20">
        <f>'Generalized Data'!D186</f>
        <v>2550</v>
      </c>
      <c r="I42" s="20">
        <f>'Generalized Data'!E186</f>
        <v>2.7777777777777777</v>
      </c>
      <c r="J42" s="50">
        <f>'Generalized Data'!F186</f>
        <v>0.59</v>
      </c>
      <c r="K42" s="50">
        <f>'Generalized Data'!G186</f>
        <v>0.57627118644067798</v>
      </c>
      <c r="L42" s="3"/>
      <c r="M42" s="2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9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</row>
    <row r="43" spans="1:105" s="16" customFormat="1" ht="13.5" customHeight="1" x14ac:dyDescent="0.2">
      <c r="A43" s="41"/>
      <c r="B43" s="28"/>
      <c r="C43" s="42"/>
      <c r="D43" s="42"/>
      <c r="E43" s="42">
        <v>2050</v>
      </c>
      <c r="F43" s="42"/>
      <c r="G43" s="42"/>
      <c r="H43" s="20">
        <f>'Generalized Data'!D187</f>
        <v>1850</v>
      </c>
      <c r="I43" s="20">
        <f>'Generalized Data'!E187</f>
        <v>2.2222222222222223</v>
      </c>
      <c r="J43" s="50">
        <f>'Generalized Data'!F187</f>
        <v>0.6</v>
      </c>
      <c r="K43" s="50">
        <f>'Generalized Data'!G187</f>
        <v>0.56666666666666676</v>
      </c>
      <c r="L43" s="3"/>
      <c r="M43" s="2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9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</row>
    <row r="44" spans="1:105" s="16" customFormat="1" ht="13.5" customHeight="1" x14ac:dyDescent="0.2">
      <c r="A44" s="41"/>
      <c r="B44" t="str">
        <f>"C_ES-SP-HR_"&amp;RIGHT(C44,3)&amp;"PEM"</f>
        <v>C_ES-SP-HR_GASPEM</v>
      </c>
      <c r="C44" s="26" t="s">
        <v>35</v>
      </c>
      <c r="D44" s="42" t="s">
        <v>294</v>
      </c>
      <c r="E44" s="93">
        <f>M44</f>
        <v>2011</v>
      </c>
      <c r="F44">
        <v>1</v>
      </c>
      <c r="G44" s="18">
        <f>'Generalized Data'!$C$4</f>
        <v>31.536000000000001</v>
      </c>
      <c r="H44" s="20">
        <f>H34</f>
        <v>50000</v>
      </c>
      <c r="I44" s="20">
        <f>I34</f>
        <v>55.555555555555557</v>
      </c>
      <c r="J44" s="50">
        <f>J34</f>
        <v>0.36</v>
      </c>
      <c r="K44" s="50">
        <f>K34</f>
        <v>1.4444444444444446</v>
      </c>
      <c r="L44" s="20">
        <f>L34</f>
        <v>20</v>
      </c>
      <c r="M44" s="91">
        <v>2011</v>
      </c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9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</row>
    <row r="45" spans="1:105" s="16" customFormat="1" ht="13.5" customHeight="1" x14ac:dyDescent="0.2">
      <c r="A45" s="41"/>
      <c r="B45"/>
      <c r="C45" s="26"/>
      <c r="D45" s="28" t="str">
        <f>COM_HR!$AD$6</f>
        <v>NR_ES-HR-SpHeat</v>
      </c>
      <c r="E45" s="42">
        <v>2020</v>
      </c>
      <c r="F45"/>
      <c r="G45" s="18"/>
      <c r="H45" s="20">
        <f t="shared" ref="H45:K64" si="12">H35</f>
        <v>15000</v>
      </c>
      <c r="I45" s="20">
        <f t="shared" si="12"/>
        <v>31.944444444444443</v>
      </c>
      <c r="J45" s="50">
        <f t="shared" si="12"/>
        <v>0.37</v>
      </c>
      <c r="K45" s="50">
        <f t="shared" si="12"/>
        <v>1.4054054054054055</v>
      </c>
      <c r="L45" s="20"/>
      <c r="M45" s="20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9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</row>
    <row r="46" spans="1:105" s="16" customFormat="1" ht="13.5" customHeight="1" x14ac:dyDescent="0.2">
      <c r="A46" s="41"/>
      <c r="B46"/>
      <c r="C46" s="26"/>
      <c r="D46" s="28"/>
      <c r="E46" s="42">
        <v>2030</v>
      </c>
      <c r="F46"/>
      <c r="G46" s="18"/>
      <c r="H46" s="20">
        <f t="shared" si="12"/>
        <v>11500</v>
      </c>
      <c r="I46" s="20">
        <f t="shared" si="12"/>
        <v>19.444444444444443</v>
      </c>
      <c r="J46" s="50">
        <f t="shared" si="12"/>
        <v>0.38</v>
      </c>
      <c r="K46" s="50">
        <f t="shared" si="12"/>
        <v>1.368421052631579</v>
      </c>
      <c r="L46" s="20"/>
      <c r="M46" s="20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9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</row>
    <row r="47" spans="1:105" s="16" customFormat="1" ht="13.5" customHeight="1" x14ac:dyDescent="0.2">
      <c r="A47" s="41"/>
      <c r="B47"/>
      <c r="C47" s="26"/>
      <c r="D47" s="28"/>
      <c r="E47" s="42">
        <v>2040</v>
      </c>
      <c r="F47"/>
      <c r="G47" s="18"/>
      <c r="H47" s="20">
        <f t="shared" si="12"/>
        <v>8500</v>
      </c>
      <c r="I47" s="20">
        <f t="shared" si="12"/>
        <v>13.888888888888889</v>
      </c>
      <c r="J47" s="50">
        <f t="shared" si="12"/>
        <v>0.39</v>
      </c>
      <c r="K47" s="50">
        <f t="shared" si="12"/>
        <v>1.3333333333333333</v>
      </c>
      <c r="L47" s="20"/>
      <c r="M47" s="20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9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</row>
    <row r="48" spans="1:105" s="16" customFormat="1" ht="13.5" customHeight="1" x14ac:dyDescent="0.2">
      <c r="A48" s="41"/>
      <c r="B48"/>
      <c r="C48" s="26"/>
      <c r="D48" s="28"/>
      <c r="E48" s="42">
        <v>2050</v>
      </c>
      <c r="F48"/>
      <c r="G48" s="18"/>
      <c r="H48" s="20">
        <f t="shared" si="12"/>
        <v>7800</v>
      </c>
      <c r="I48" s="20">
        <f t="shared" si="12"/>
        <v>12.5</v>
      </c>
      <c r="J48" s="50">
        <f t="shared" si="12"/>
        <v>0.39</v>
      </c>
      <c r="K48" s="50">
        <f t="shared" si="12"/>
        <v>1.3333333333333333</v>
      </c>
      <c r="L48" s="20"/>
      <c r="M48" s="20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9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</row>
    <row r="49" spans="1:105" s="16" customFormat="1" ht="13.5" customHeight="1" x14ac:dyDescent="0.2">
      <c r="A49" s="95"/>
      <c r="B49" t="str">
        <f>"C_ES-SP-HR_"&amp;RIGHT(C49,3)&amp;"SOFC"</f>
        <v>C_ES-SP-HR_GASSOFC</v>
      </c>
      <c r="C49" s="26" t="s">
        <v>35</v>
      </c>
      <c r="D49" s="42" t="s">
        <v>294</v>
      </c>
      <c r="E49" s="93">
        <f>M49</f>
        <v>2011</v>
      </c>
      <c r="F49">
        <v>1</v>
      </c>
      <c r="G49" s="18">
        <f>'Generalized Data'!$C$4</f>
        <v>31.536000000000001</v>
      </c>
      <c r="H49" s="20">
        <f t="shared" si="12"/>
        <v>18000</v>
      </c>
      <c r="I49" s="20">
        <f t="shared" si="12"/>
        <v>33.333333333333336</v>
      </c>
      <c r="J49" s="50">
        <f t="shared" si="12"/>
        <v>0.53</v>
      </c>
      <c r="K49" s="50">
        <f t="shared" si="12"/>
        <v>0.60377358490566035</v>
      </c>
      <c r="L49" s="20">
        <f>L39</f>
        <v>20</v>
      </c>
      <c r="M49" s="91">
        <v>2011</v>
      </c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9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</row>
    <row r="50" spans="1:105" s="16" customFormat="1" ht="13.5" customHeight="1" x14ac:dyDescent="0.2">
      <c r="A50" s="95"/>
      <c r="B50"/>
      <c r="C50" s="26"/>
      <c r="D50" s="28" t="str">
        <f>COM_HR!$AD$6</f>
        <v>NR_ES-HR-SpHeat</v>
      </c>
      <c r="E50" s="42">
        <v>2020</v>
      </c>
      <c r="F50"/>
      <c r="G50" s="18"/>
      <c r="H50" s="20">
        <f t="shared" si="12"/>
        <v>6300</v>
      </c>
      <c r="I50" s="20">
        <f t="shared" si="12"/>
        <v>18.055555555555554</v>
      </c>
      <c r="J50" s="50">
        <f t="shared" si="12"/>
        <v>0.53</v>
      </c>
      <c r="K50" s="50">
        <f t="shared" si="12"/>
        <v>0.60377358490566035</v>
      </c>
      <c r="L50" s="3"/>
      <c r="M50" s="2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9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</row>
    <row r="51" spans="1:105" s="16" customFormat="1" ht="13.5" customHeight="1" x14ac:dyDescent="0.2">
      <c r="A51" s="95"/>
      <c r="B51"/>
      <c r="C51" s="26"/>
      <c r="D51" s="28"/>
      <c r="E51" s="42">
        <v>2030</v>
      </c>
      <c r="F51"/>
      <c r="G51" s="18"/>
      <c r="H51" s="20">
        <f t="shared" si="12"/>
        <v>4000</v>
      </c>
      <c r="I51" s="20">
        <f t="shared" si="12"/>
        <v>6.9444444444444446</v>
      </c>
      <c r="J51" s="50">
        <f t="shared" si="12"/>
        <v>0.55000000000000004</v>
      </c>
      <c r="K51" s="50">
        <f t="shared" si="12"/>
        <v>0.58181818181818179</v>
      </c>
      <c r="L51" s="3"/>
      <c r="M51" s="2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9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</row>
    <row r="52" spans="1:105" s="16" customFormat="1" ht="13.5" customHeight="1" x14ac:dyDescent="0.2">
      <c r="A52" s="95"/>
      <c r="B52"/>
      <c r="C52" s="26"/>
      <c r="D52" s="28"/>
      <c r="E52" s="42">
        <v>2040</v>
      </c>
      <c r="F52"/>
      <c r="G52" s="18"/>
      <c r="H52" s="20">
        <f t="shared" si="12"/>
        <v>2550</v>
      </c>
      <c r="I52" s="20">
        <f t="shared" si="12"/>
        <v>2.7777777777777777</v>
      </c>
      <c r="J52" s="50">
        <f t="shared" si="12"/>
        <v>0.59</v>
      </c>
      <c r="K52" s="50">
        <f t="shared" si="12"/>
        <v>0.57627118644067798</v>
      </c>
      <c r="L52" s="3"/>
      <c r="M52" s="2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9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</row>
    <row r="53" spans="1:105" s="16" customFormat="1" ht="13.5" customHeight="1" x14ac:dyDescent="0.2">
      <c r="A53" s="95"/>
      <c r="B53"/>
      <c r="C53" s="26"/>
      <c r="D53" s="28"/>
      <c r="E53" s="42">
        <v>2050</v>
      </c>
      <c r="F53"/>
      <c r="G53" s="18"/>
      <c r="H53" s="20">
        <f t="shared" si="12"/>
        <v>1850</v>
      </c>
      <c r="I53" s="20">
        <f t="shared" si="12"/>
        <v>2.2222222222222223</v>
      </c>
      <c r="J53" s="50">
        <f t="shared" si="12"/>
        <v>0.6</v>
      </c>
      <c r="K53" s="50">
        <f t="shared" si="12"/>
        <v>0.56666666666666676</v>
      </c>
      <c r="L53" s="3"/>
      <c r="M53" s="2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9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</row>
    <row r="54" spans="1:105" s="16" customFormat="1" ht="13.5" customHeight="1" x14ac:dyDescent="0.2">
      <c r="A54" s="41"/>
      <c r="B54" t="str">
        <f>"C_ES-SP-SR_"&amp;RIGHT(C54,3)&amp;"PEM"</f>
        <v>C_ES-SP-SR_GASPEM</v>
      </c>
      <c r="C54" s="26" t="s">
        <v>35</v>
      </c>
      <c r="D54" s="42" t="s">
        <v>294</v>
      </c>
      <c r="E54" s="93">
        <f>M54</f>
        <v>2011</v>
      </c>
      <c r="F54">
        <v>1</v>
      </c>
      <c r="G54" s="18">
        <f>'Generalized Data'!$C$4</f>
        <v>31.536000000000001</v>
      </c>
      <c r="H54" s="20">
        <f t="shared" si="12"/>
        <v>50000</v>
      </c>
      <c r="I54" s="20">
        <f t="shared" si="12"/>
        <v>55.555555555555557</v>
      </c>
      <c r="J54" s="50">
        <f t="shared" si="12"/>
        <v>0.36</v>
      </c>
      <c r="K54" s="50">
        <f t="shared" si="12"/>
        <v>1.4444444444444446</v>
      </c>
      <c r="L54" s="20">
        <f>L44</f>
        <v>20</v>
      </c>
      <c r="M54" s="91">
        <v>2011</v>
      </c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9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</row>
    <row r="55" spans="1:105" s="16" customFormat="1" ht="13.5" customHeight="1" x14ac:dyDescent="0.2">
      <c r="A55" s="41"/>
      <c r="B55"/>
      <c r="C55" s="26"/>
      <c r="D55" s="28" t="str">
        <f>COM_SR!$AD$6</f>
        <v>NR_ES-SR-SpHeat</v>
      </c>
      <c r="E55" s="42">
        <v>2020</v>
      </c>
      <c r="F55"/>
      <c r="G55" s="18"/>
      <c r="H55" s="20">
        <f t="shared" si="12"/>
        <v>15000</v>
      </c>
      <c r="I55" s="20">
        <f t="shared" si="12"/>
        <v>31.944444444444443</v>
      </c>
      <c r="J55" s="50">
        <f t="shared" si="12"/>
        <v>0.37</v>
      </c>
      <c r="K55" s="50">
        <f t="shared" si="12"/>
        <v>1.4054054054054055</v>
      </c>
      <c r="L55" s="20"/>
      <c r="M55" s="20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9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</row>
    <row r="56" spans="1:105" s="16" customFormat="1" ht="13.5" customHeight="1" x14ac:dyDescent="0.2">
      <c r="A56" s="41"/>
      <c r="B56"/>
      <c r="C56" s="26"/>
      <c r="D56" s="42"/>
      <c r="E56" s="42">
        <v>2030</v>
      </c>
      <c r="F56"/>
      <c r="G56" s="18"/>
      <c r="H56" s="20">
        <f t="shared" si="12"/>
        <v>11500</v>
      </c>
      <c r="I56" s="20">
        <f t="shared" si="12"/>
        <v>19.444444444444443</v>
      </c>
      <c r="J56" s="50">
        <f t="shared" si="12"/>
        <v>0.38</v>
      </c>
      <c r="K56" s="50">
        <f t="shared" si="12"/>
        <v>1.368421052631579</v>
      </c>
      <c r="L56" s="20"/>
      <c r="M56" s="20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9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</row>
    <row r="57" spans="1:105" s="16" customFormat="1" ht="13.5" customHeight="1" x14ac:dyDescent="0.2">
      <c r="A57" s="41"/>
      <c r="B57"/>
      <c r="C57" s="26"/>
      <c r="D57" s="42"/>
      <c r="E57" s="42">
        <v>2040</v>
      </c>
      <c r="F57"/>
      <c r="G57" s="18"/>
      <c r="H57" s="20">
        <f t="shared" si="12"/>
        <v>8500</v>
      </c>
      <c r="I57" s="20">
        <f t="shared" si="12"/>
        <v>13.888888888888889</v>
      </c>
      <c r="J57" s="50">
        <f t="shared" si="12"/>
        <v>0.39</v>
      </c>
      <c r="K57" s="50">
        <f t="shared" si="12"/>
        <v>1.3333333333333333</v>
      </c>
      <c r="L57" s="20"/>
      <c r="M57" s="20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9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</row>
    <row r="58" spans="1:105" s="16" customFormat="1" ht="13.5" customHeight="1" x14ac:dyDescent="0.2">
      <c r="A58" s="41"/>
      <c r="B58"/>
      <c r="C58" s="26"/>
      <c r="E58" s="42">
        <v>2050</v>
      </c>
      <c r="F58"/>
      <c r="G58" s="18"/>
      <c r="H58" s="20">
        <f t="shared" si="12"/>
        <v>7800</v>
      </c>
      <c r="I58" s="20">
        <f t="shared" si="12"/>
        <v>12.5</v>
      </c>
      <c r="J58" s="50">
        <f t="shared" si="12"/>
        <v>0.39</v>
      </c>
      <c r="K58" s="50">
        <f t="shared" si="12"/>
        <v>1.3333333333333333</v>
      </c>
      <c r="L58" s="20"/>
      <c r="M58" s="20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9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</row>
    <row r="59" spans="1:105" s="16" customFormat="1" ht="13.5" customHeight="1" x14ac:dyDescent="0.2">
      <c r="A59" s="41"/>
      <c r="B59" t="str">
        <f>"C_ES-SP-SR_"&amp;RIGHT(C59,3)&amp;"SOFC"</f>
        <v>C_ES-SP-SR_GASSOFC</v>
      </c>
      <c r="C59" s="26" t="s">
        <v>35</v>
      </c>
      <c r="D59" s="42" t="s">
        <v>294</v>
      </c>
      <c r="E59" s="93">
        <f>M59</f>
        <v>2011</v>
      </c>
      <c r="F59">
        <v>1</v>
      </c>
      <c r="G59" s="18">
        <f>'Generalized Data'!$C$4</f>
        <v>31.536000000000001</v>
      </c>
      <c r="H59" s="20">
        <f t="shared" si="12"/>
        <v>18000</v>
      </c>
      <c r="I59" s="20">
        <f t="shared" si="12"/>
        <v>33.333333333333336</v>
      </c>
      <c r="J59" s="50">
        <f t="shared" si="12"/>
        <v>0.53</v>
      </c>
      <c r="K59" s="50">
        <f t="shared" si="12"/>
        <v>0.60377358490566035</v>
      </c>
      <c r="L59" s="20">
        <f>L49</f>
        <v>20</v>
      </c>
      <c r="M59" s="91">
        <v>2011</v>
      </c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9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</row>
    <row r="60" spans="1:105" s="16" customFormat="1" ht="13.5" customHeight="1" x14ac:dyDescent="0.2">
      <c r="A60" s="41"/>
      <c r="B60" s="41"/>
      <c r="C60" s="26"/>
      <c r="D60" s="28" t="str">
        <f>COM_SR!$AD$6</f>
        <v>NR_ES-SR-SpHeat</v>
      </c>
      <c r="E60" s="42">
        <v>2020</v>
      </c>
      <c r="F60"/>
      <c r="G60" s="18"/>
      <c r="H60" s="20">
        <f t="shared" si="12"/>
        <v>6300</v>
      </c>
      <c r="I60" s="20">
        <f t="shared" si="12"/>
        <v>18.055555555555554</v>
      </c>
      <c r="J60" s="50">
        <f t="shared" si="12"/>
        <v>0.53</v>
      </c>
      <c r="K60" s="50">
        <f t="shared" si="12"/>
        <v>0.60377358490566035</v>
      </c>
      <c r="L60" s="3"/>
      <c r="M60" s="2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9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</row>
    <row r="61" spans="1:105" s="16" customFormat="1" ht="13.5" customHeight="1" x14ac:dyDescent="0.2">
      <c r="A61" s="41"/>
      <c r="B61" s="41"/>
      <c r="C61" s="42"/>
      <c r="D61" s="42"/>
      <c r="E61" s="42">
        <v>2030</v>
      </c>
      <c r="F61" s="42"/>
      <c r="G61" s="42"/>
      <c r="H61" s="20">
        <f t="shared" si="12"/>
        <v>4000</v>
      </c>
      <c r="I61" s="20">
        <f t="shared" si="12"/>
        <v>6.9444444444444446</v>
      </c>
      <c r="J61" s="50">
        <f t="shared" si="12"/>
        <v>0.55000000000000004</v>
      </c>
      <c r="K61" s="50">
        <f t="shared" si="12"/>
        <v>0.58181818181818179</v>
      </c>
      <c r="L61" s="3"/>
      <c r="M61" s="2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9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</row>
    <row r="62" spans="1:105" s="16" customFormat="1" ht="13.5" customHeight="1" x14ac:dyDescent="0.2">
      <c r="A62" s="41"/>
      <c r="B62" s="41"/>
      <c r="C62" s="42"/>
      <c r="D62" s="42"/>
      <c r="E62" s="42">
        <v>2040</v>
      </c>
      <c r="F62" s="42"/>
      <c r="G62" s="42"/>
      <c r="H62" s="20">
        <f t="shared" si="12"/>
        <v>2550</v>
      </c>
      <c r="I62" s="20">
        <f t="shared" si="12"/>
        <v>2.7777777777777777</v>
      </c>
      <c r="J62" s="50">
        <f t="shared" si="12"/>
        <v>0.59</v>
      </c>
      <c r="K62" s="50">
        <f t="shared" si="12"/>
        <v>0.57627118644067798</v>
      </c>
      <c r="L62" s="3"/>
      <c r="M62" s="2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9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</row>
    <row r="63" spans="1:105" s="16" customFormat="1" ht="13.5" customHeight="1" x14ac:dyDescent="0.2">
      <c r="A63" s="41"/>
      <c r="B63" s="41"/>
      <c r="C63" s="42"/>
      <c r="D63" s="42"/>
      <c r="E63" s="42">
        <v>2050</v>
      </c>
      <c r="F63" s="42"/>
      <c r="G63" s="42"/>
      <c r="H63" s="20">
        <f t="shared" si="12"/>
        <v>1850</v>
      </c>
      <c r="I63" s="20">
        <f t="shared" si="12"/>
        <v>2.2222222222222223</v>
      </c>
      <c r="J63" s="50">
        <f t="shared" si="12"/>
        <v>0.6</v>
      </c>
      <c r="K63" s="50">
        <f t="shared" si="12"/>
        <v>0.56666666666666676</v>
      </c>
      <c r="L63" s="3"/>
      <c r="M63" s="2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9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</row>
    <row r="64" spans="1:105" s="16" customFormat="1" ht="13.5" customHeight="1" x14ac:dyDescent="0.2">
      <c r="A64" s="95"/>
      <c r="B64" t="str">
        <f>"C_ES-SP-SL_"&amp;RIGHT(C64,3)&amp;"PEM"</f>
        <v>C_ES-SP-SL_GASPEM</v>
      </c>
      <c r="C64" s="26" t="s">
        <v>35</v>
      </c>
      <c r="D64" s="42" t="s">
        <v>294</v>
      </c>
      <c r="E64" s="93">
        <f>M64</f>
        <v>2011</v>
      </c>
      <c r="F64">
        <v>1</v>
      </c>
      <c r="G64" s="18">
        <f>'Generalized Data'!$C$4</f>
        <v>31.536000000000001</v>
      </c>
      <c r="H64" s="20">
        <f t="shared" si="12"/>
        <v>50000</v>
      </c>
      <c r="I64" s="20">
        <f t="shared" si="12"/>
        <v>55.555555555555557</v>
      </c>
      <c r="J64" s="50">
        <f t="shared" si="12"/>
        <v>0.36</v>
      </c>
      <c r="K64" s="50">
        <f t="shared" si="12"/>
        <v>1.4444444444444446</v>
      </c>
      <c r="L64" s="20">
        <f>L54</f>
        <v>20</v>
      </c>
      <c r="M64" s="91">
        <v>2011</v>
      </c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9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</row>
    <row r="65" spans="1:105" s="16" customFormat="1" ht="13.5" customHeight="1" x14ac:dyDescent="0.2">
      <c r="A65" s="95"/>
      <c r="B65"/>
      <c r="C65" s="26"/>
      <c r="D65" s="28" t="str">
        <f>COM_SL!$AD$6</f>
        <v>NR_ES-SL-SpHeat</v>
      </c>
      <c r="E65" s="42">
        <v>2020</v>
      </c>
      <c r="F65"/>
      <c r="G65" s="18"/>
      <c r="H65" s="20">
        <f t="shared" ref="H65:K84" si="13">H55</f>
        <v>15000</v>
      </c>
      <c r="I65" s="20">
        <f t="shared" si="13"/>
        <v>31.944444444444443</v>
      </c>
      <c r="J65" s="50">
        <f t="shared" si="13"/>
        <v>0.37</v>
      </c>
      <c r="K65" s="50">
        <f t="shared" si="13"/>
        <v>1.4054054054054055</v>
      </c>
      <c r="L65" s="20"/>
      <c r="M65" s="20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9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</row>
    <row r="66" spans="1:105" s="16" customFormat="1" ht="13.5" customHeight="1" x14ac:dyDescent="0.2">
      <c r="A66" s="95"/>
      <c r="B66"/>
      <c r="C66" s="26"/>
      <c r="D66" s="42"/>
      <c r="E66" s="42">
        <v>2030</v>
      </c>
      <c r="F66"/>
      <c r="G66" s="18"/>
      <c r="H66" s="20">
        <f t="shared" si="13"/>
        <v>11500</v>
      </c>
      <c r="I66" s="20">
        <f t="shared" si="13"/>
        <v>19.444444444444443</v>
      </c>
      <c r="J66" s="50">
        <f t="shared" si="13"/>
        <v>0.38</v>
      </c>
      <c r="K66" s="50">
        <f t="shared" si="13"/>
        <v>1.368421052631579</v>
      </c>
      <c r="L66" s="20"/>
      <c r="M66" s="20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9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</row>
    <row r="67" spans="1:105" s="16" customFormat="1" ht="13.5" customHeight="1" x14ac:dyDescent="0.2">
      <c r="A67" s="95"/>
      <c r="B67"/>
      <c r="C67" s="26"/>
      <c r="D67" s="42"/>
      <c r="E67" s="42">
        <v>2040</v>
      </c>
      <c r="F67"/>
      <c r="G67" s="18"/>
      <c r="H67" s="20">
        <f t="shared" si="13"/>
        <v>8500</v>
      </c>
      <c r="I67" s="20">
        <f t="shared" si="13"/>
        <v>13.888888888888889</v>
      </c>
      <c r="J67" s="50">
        <f t="shared" si="13"/>
        <v>0.39</v>
      </c>
      <c r="K67" s="50">
        <f t="shared" si="13"/>
        <v>1.3333333333333333</v>
      </c>
      <c r="L67" s="20"/>
      <c r="M67" s="20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9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</row>
    <row r="68" spans="1:105" s="16" customFormat="1" ht="13.5" customHeight="1" x14ac:dyDescent="0.2">
      <c r="A68" s="95"/>
      <c r="B68"/>
      <c r="C68" s="26"/>
      <c r="E68" s="42">
        <v>2050</v>
      </c>
      <c r="F68"/>
      <c r="G68" s="18"/>
      <c r="H68" s="20">
        <f t="shared" si="13"/>
        <v>7800</v>
      </c>
      <c r="I68" s="20">
        <f t="shared" si="13"/>
        <v>12.5</v>
      </c>
      <c r="J68" s="50">
        <f t="shared" si="13"/>
        <v>0.39</v>
      </c>
      <c r="K68" s="50">
        <f t="shared" si="13"/>
        <v>1.3333333333333333</v>
      </c>
      <c r="L68" s="20"/>
      <c r="M68" s="20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9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</row>
    <row r="69" spans="1:105" s="16" customFormat="1" ht="13.5" customHeight="1" x14ac:dyDescent="0.2">
      <c r="A69" s="95"/>
      <c r="B69" t="str">
        <f>"C_ES-SP-SL_"&amp;RIGHT(C69,3)&amp;"SOFC"</f>
        <v>C_ES-SP-SL_GASSOFC</v>
      </c>
      <c r="C69" s="26" t="s">
        <v>35</v>
      </c>
      <c r="D69" s="42" t="s">
        <v>294</v>
      </c>
      <c r="E69" s="93">
        <f>M69</f>
        <v>2011</v>
      </c>
      <c r="F69">
        <v>1</v>
      </c>
      <c r="G69" s="18">
        <f>'Generalized Data'!$C$4</f>
        <v>31.536000000000001</v>
      </c>
      <c r="H69" s="20">
        <f t="shared" si="13"/>
        <v>18000</v>
      </c>
      <c r="I69" s="20">
        <f t="shared" si="13"/>
        <v>33.333333333333336</v>
      </c>
      <c r="J69" s="50">
        <f t="shared" si="13"/>
        <v>0.53</v>
      </c>
      <c r="K69" s="50">
        <f t="shared" si="13"/>
        <v>0.60377358490566035</v>
      </c>
      <c r="L69" s="20">
        <f>L59</f>
        <v>20</v>
      </c>
      <c r="M69" s="91">
        <v>2011</v>
      </c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9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</row>
    <row r="70" spans="1:105" s="16" customFormat="1" ht="13.5" customHeight="1" x14ac:dyDescent="0.2">
      <c r="A70" s="95"/>
      <c r="B70" s="41"/>
      <c r="C70" s="26"/>
      <c r="D70" s="28" t="str">
        <f>COM_SL!$AD$6</f>
        <v>NR_ES-SL-SpHeat</v>
      </c>
      <c r="E70" s="42">
        <v>2020</v>
      </c>
      <c r="F70"/>
      <c r="G70" s="18"/>
      <c r="H70" s="20">
        <f t="shared" si="13"/>
        <v>6300</v>
      </c>
      <c r="I70" s="20">
        <f t="shared" si="13"/>
        <v>18.055555555555554</v>
      </c>
      <c r="J70" s="50">
        <f t="shared" si="13"/>
        <v>0.53</v>
      </c>
      <c r="K70" s="50">
        <f t="shared" si="13"/>
        <v>0.60377358490566035</v>
      </c>
      <c r="L70" s="3"/>
      <c r="M70" s="2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9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</row>
    <row r="71" spans="1:105" s="16" customFormat="1" ht="13.5" customHeight="1" x14ac:dyDescent="0.2">
      <c r="A71" s="95"/>
      <c r="B71" s="41"/>
      <c r="C71" s="42"/>
      <c r="D71" s="42"/>
      <c r="E71" s="42">
        <v>2030</v>
      </c>
      <c r="F71" s="42"/>
      <c r="G71" s="42"/>
      <c r="H71" s="20">
        <f t="shared" si="13"/>
        <v>4000</v>
      </c>
      <c r="I71" s="20">
        <f t="shared" si="13"/>
        <v>6.9444444444444446</v>
      </c>
      <c r="J71" s="50">
        <f t="shared" si="13"/>
        <v>0.55000000000000004</v>
      </c>
      <c r="K71" s="50">
        <f t="shared" si="13"/>
        <v>0.58181818181818179</v>
      </c>
      <c r="L71" s="3"/>
      <c r="M71" s="2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9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</row>
    <row r="72" spans="1:105" s="16" customFormat="1" ht="13.5" customHeight="1" x14ac:dyDescent="0.2">
      <c r="A72" s="95"/>
      <c r="B72" s="41"/>
      <c r="C72" s="42"/>
      <c r="D72" s="42"/>
      <c r="E72" s="42">
        <v>2040</v>
      </c>
      <c r="F72" s="42"/>
      <c r="G72" s="42"/>
      <c r="H72" s="20">
        <f t="shared" si="13"/>
        <v>2550</v>
      </c>
      <c r="I72" s="20">
        <f t="shared" si="13"/>
        <v>2.7777777777777777</v>
      </c>
      <c r="J72" s="50">
        <f t="shared" si="13"/>
        <v>0.59</v>
      </c>
      <c r="K72" s="50">
        <f t="shared" si="13"/>
        <v>0.57627118644067798</v>
      </c>
      <c r="L72" s="3"/>
      <c r="M72" s="2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9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</row>
    <row r="73" spans="1:105" s="16" customFormat="1" ht="13.5" customHeight="1" x14ac:dyDescent="0.2">
      <c r="A73" s="95"/>
      <c r="B73" s="41"/>
      <c r="C73" s="42"/>
      <c r="D73" s="42"/>
      <c r="E73" s="42">
        <v>2050</v>
      </c>
      <c r="F73" s="42"/>
      <c r="G73" s="42"/>
      <c r="H73" s="20">
        <f t="shared" si="13"/>
        <v>1850</v>
      </c>
      <c r="I73" s="20">
        <f t="shared" si="13"/>
        <v>2.2222222222222223</v>
      </c>
      <c r="J73" s="50">
        <f t="shared" si="13"/>
        <v>0.6</v>
      </c>
      <c r="K73" s="50">
        <f t="shared" si="13"/>
        <v>0.56666666666666676</v>
      </c>
      <c r="L73" s="3"/>
      <c r="M73" s="2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9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</row>
    <row r="74" spans="1:105" s="16" customFormat="1" ht="13.5" customHeight="1" x14ac:dyDescent="0.2">
      <c r="A74" s="41"/>
      <c r="B74" t="str">
        <f>"C_ES-SP-SS_"&amp;RIGHT(C74,3)&amp;"PEM"</f>
        <v>C_ES-SP-SS_GASPEM</v>
      </c>
      <c r="C74" s="26" t="s">
        <v>35</v>
      </c>
      <c r="D74" s="42" t="s">
        <v>294</v>
      </c>
      <c r="E74" s="93">
        <f>M74</f>
        <v>2011</v>
      </c>
      <c r="F74">
        <v>1</v>
      </c>
      <c r="G74" s="18">
        <f>'Generalized Data'!$C$4</f>
        <v>31.536000000000001</v>
      </c>
      <c r="H74" s="20">
        <f t="shared" si="13"/>
        <v>50000</v>
      </c>
      <c r="I74" s="20">
        <f t="shared" si="13"/>
        <v>55.555555555555557</v>
      </c>
      <c r="J74" s="50">
        <f t="shared" si="13"/>
        <v>0.36</v>
      </c>
      <c r="K74" s="50">
        <f t="shared" si="13"/>
        <v>1.4444444444444446</v>
      </c>
      <c r="L74" s="20">
        <f>L64</f>
        <v>20</v>
      </c>
      <c r="M74" s="91">
        <v>2011</v>
      </c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9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</row>
    <row r="75" spans="1:105" s="16" customFormat="1" ht="13.5" customHeight="1" x14ac:dyDescent="0.2">
      <c r="A75" s="41"/>
      <c r="B75"/>
      <c r="C75" s="26"/>
      <c r="D75" s="28" t="str">
        <f>COM_SS!$AD$6</f>
        <v>NR_ES-SS-SpHeat</v>
      </c>
      <c r="E75" s="42">
        <v>2020</v>
      </c>
      <c r="F75"/>
      <c r="G75" s="18"/>
      <c r="H75" s="20">
        <f t="shared" si="13"/>
        <v>15000</v>
      </c>
      <c r="I75" s="20">
        <f t="shared" si="13"/>
        <v>31.944444444444443</v>
      </c>
      <c r="J75" s="50">
        <f t="shared" si="13"/>
        <v>0.37</v>
      </c>
      <c r="K75" s="50">
        <f t="shared" si="13"/>
        <v>1.4054054054054055</v>
      </c>
      <c r="L75" s="20"/>
      <c r="M75" s="20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9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</row>
    <row r="76" spans="1:105" s="16" customFormat="1" ht="13.5" customHeight="1" x14ac:dyDescent="0.2">
      <c r="A76" s="41"/>
      <c r="B76"/>
      <c r="C76" s="26"/>
      <c r="D76" s="28"/>
      <c r="E76" s="42">
        <v>2030</v>
      </c>
      <c r="F76"/>
      <c r="G76" s="18"/>
      <c r="H76" s="20">
        <f t="shared" si="13"/>
        <v>11500</v>
      </c>
      <c r="I76" s="20">
        <f t="shared" si="13"/>
        <v>19.444444444444443</v>
      </c>
      <c r="J76" s="50">
        <f t="shared" si="13"/>
        <v>0.38</v>
      </c>
      <c r="K76" s="50">
        <f t="shared" si="13"/>
        <v>1.368421052631579</v>
      </c>
      <c r="L76" s="20"/>
      <c r="M76" s="20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9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</row>
    <row r="77" spans="1:105" s="16" customFormat="1" ht="13.5" customHeight="1" x14ac:dyDescent="0.2">
      <c r="A77" s="41"/>
      <c r="B77"/>
      <c r="C77" s="26"/>
      <c r="D77" s="28"/>
      <c r="E77" s="42">
        <v>2040</v>
      </c>
      <c r="F77"/>
      <c r="G77" s="18"/>
      <c r="H77" s="20">
        <f t="shared" si="13"/>
        <v>8500</v>
      </c>
      <c r="I77" s="20">
        <f t="shared" si="13"/>
        <v>13.888888888888889</v>
      </c>
      <c r="J77" s="50">
        <f t="shared" si="13"/>
        <v>0.39</v>
      </c>
      <c r="K77" s="50">
        <f t="shared" si="13"/>
        <v>1.3333333333333333</v>
      </c>
      <c r="L77" s="20"/>
      <c r="M77" s="20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9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</row>
    <row r="78" spans="1:105" s="16" customFormat="1" ht="13.5" customHeight="1" x14ac:dyDescent="0.2">
      <c r="A78" s="41"/>
      <c r="B78"/>
      <c r="C78" s="26"/>
      <c r="D78" s="28"/>
      <c r="E78" s="42">
        <v>2050</v>
      </c>
      <c r="F78"/>
      <c r="G78" s="18"/>
      <c r="H78" s="20">
        <f t="shared" si="13"/>
        <v>7800</v>
      </c>
      <c r="I78" s="20">
        <f t="shared" si="13"/>
        <v>12.5</v>
      </c>
      <c r="J78" s="50">
        <f t="shared" si="13"/>
        <v>0.39</v>
      </c>
      <c r="K78" s="50">
        <f t="shared" si="13"/>
        <v>1.3333333333333333</v>
      </c>
      <c r="L78" s="20"/>
      <c r="M78" s="20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9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</row>
    <row r="79" spans="1:105" s="16" customFormat="1" ht="13.5" customHeight="1" x14ac:dyDescent="0.2">
      <c r="A79" s="41"/>
      <c r="B79" t="str">
        <f>"C_ES-SP-SS_"&amp;RIGHT(C79,3)&amp;"SOFC"</f>
        <v>C_ES-SP-SS_GASSOFC</v>
      </c>
      <c r="C79" s="26" t="s">
        <v>35</v>
      </c>
      <c r="D79" s="42" t="s">
        <v>294</v>
      </c>
      <c r="E79" s="93">
        <f>M79</f>
        <v>2011</v>
      </c>
      <c r="F79">
        <v>1</v>
      </c>
      <c r="G79" s="18">
        <f>'Generalized Data'!$C$4</f>
        <v>31.536000000000001</v>
      </c>
      <c r="H79" s="20">
        <f t="shared" si="13"/>
        <v>18000</v>
      </c>
      <c r="I79" s="20">
        <f t="shared" si="13"/>
        <v>33.333333333333336</v>
      </c>
      <c r="J79" s="50">
        <f t="shared" si="13"/>
        <v>0.53</v>
      </c>
      <c r="K79" s="50">
        <f t="shared" si="13"/>
        <v>0.60377358490566035</v>
      </c>
      <c r="L79" s="20">
        <f>L69</f>
        <v>20</v>
      </c>
      <c r="M79" s="91">
        <v>2011</v>
      </c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9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</row>
    <row r="80" spans="1:105" s="16" customFormat="1" ht="13.5" customHeight="1" x14ac:dyDescent="0.2">
      <c r="A80" s="41"/>
      <c r="B80"/>
      <c r="C80" s="26"/>
      <c r="D80" s="28" t="str">
        <f>COM_SS!$AD$6</f>
        <v>NR_ES-SS-SpHeat</v>
      </c>
      <c r="E80" s="42">
        <v>2020</v>
      </c>
      <c r="F80"/>
      <c r="G80" s="18"/>
      <c r="H80" s="20">
        <f t="shared" si="13"/>
        <v>6300</v>
      </c>
      <c r="I80" s="20">
        <f t="shared" si="13"/>
        <v>18.055555555555554</v>
      </c>
      <c r="J80" s="50">
        <f t="shared" si="13"/>
        <v>0.53</v>
      </c>
      <c r="K80" s="50">
        <f t="shared" si="13"/>
        <v>0.60377358490566035</v>
      </c>
      <c r="L80" s="3"/>
      <c r="M80" s="2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9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</row>
    <row r="81" spans="1:105" s="16" customFormat="1" ht="13.5" customHeight="1" x14ac:dyDescent="0.2">
      <c r="A81" s="41"/>
      <c r="B81"/>
      <c r="C81" s="26"/>
      <c r="D81" s="28"/>
      <c r="E81" s="42">
        <v>2030</v>
      </c>
      <c r="F81"/>
      <c r="G81" s="18"/>
      <c r="H81" s="20">
        <f t="shared" si="13"/>
        <v>4000</v>
      </c>
      <c r="I81" s="20">
        <f t="shared" si="13"/>
        <v>6.9444444444444446</v>
      </c>
      <c r="J81" s="50">
        <f t="shared" si="13"/>
        <v>0.55000000000000004</v>
      </c>
      <c r="K81" s="50">
        <f t="shared" si="13"/>
        <v>0.58181818181818179</v>
      </c>
      <c r="L81" s="3"/>
      <c r="M81" s="2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9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</row>
    <row r="82" spans="1:105" s="16" customFormat="1" ht="13.5" customHeight="1" x14ac:dyDescent="0.2">
      <c r="A82" s="41"/>
      <c r="B82"/>
      <c r="C82" s="26"/>
      <c r="D82" s="28"/>
      <c r="E82" s="42">
        <v>2040</v>
      </c>
      <c r="F82"/>
      <c r="G82" s="18"/>
      <c r="H82" s="20">
        <f t="shared" si="13"/>
        <v>2550</v>
      </c>
      <c r="I82" s="20">
        <f t="shared" si="13"/>
        <v>2.7777777777777777</v>
      </c>
      <c r="J82" s="50">
        <f t="shared" si="13"/>
        <v>0.59</v>
      </c>
      <c r="K82" s="50">
        <f t="shared" si="13"/>
        <v>0.57627118644067798</v>
      </c>
      <c r="L82" s="3"/>
      <c r="M82" s="2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9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</row>
    <row r="83" spans="1:105" s="16" customFormat="1" ht="13.5" customHeight="1" x14ac:dyDescent="0.2">
      <c r="A83" s="41"/>
      <c r="B83"/>
      <c r="C83" s="26"/>
      <c r="D83" s="28"/>
      <c r="E83" s="42">
        <v>2050</v>
      </c>
      <c r="F83"/>
      <c r="G83" s="18"/>
      <c r="H83" s="20">
        <f t="shared" si="13"/>
        <v>1850</v>
      </c>
      <c r="I83" s="20">
        <f t="shared" si="13"/>
        <v>2.2222222222222223</v>
      </c>
      <c r="J83" s="50">
        <f t="shared" si="13"/>
        <v>0.6</v>
      </c>
      <c r="K83" s="50">
        <f t="shared" si="13"/>
        <v>0.56666666666666676</v>
      </c>
      <c r="L83" s="3"/>
      <c r="M83" s="2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9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</row>
    <row r="84" spans="1:105" s="16" customFormat="1" ht="13.5" customHeight="1" x14ac:dyDescent="0.2">
      <c r="A84" s="41"/>
      <c r="B84" t="str">
        <f>"C_ES-SP-OF_"&amp;RIGHT(C84,3)&amp;"PEM"</f>
        <v>C_ES-SP-OF_GASPEM</v>
      </c>
      <c r="C84" s="26" t="s">
        <v>35</v>
      </c>
      <c r="D84" s="42" t="s">
        <v>294</v>
      </c>
      <c r="E84" s="93">
        <f>M84</f>
        <v>2011</v>
      </c>
      <c r="F84">
        <v>1</v>
      </c>
      <c r="G84" s="18">
        <f>'Generalized Data'!$C$4</f>
        <v>31.536000000000001</v>
      </c>
      <c r="H84" s="20">
        <f t="shared" si="13"/>
        <v>50000</v>
      </c>
      <c r="I84" s="20">
        <f t="shared" si="13"/>
        <v>55.555555555555557</v>
      </c>
      <c r="J84" s="50">
        <f t="shared" si="13"/>
        <v>0.36</v>
      </c>
      <c r="K84" s="50">
        <f t="shared" si="13"/>
        <v>1.4444444444444446</v>
      </c>
      <c r="L84" s="20">
        <f>L74</f>
        <v>20</v>
      </c>
      <c r="M84" s="91">
        <v>2011</v>
      </c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9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</row>
    <row r="85" spans="1:105" s="16" customFormat="1" ht="13.5" customHeight="1" x14ac:dyDescent="0.2">
      <c r="A85" s="41"/>
      <c r="B85"/>
      <c r="C85" s="26"/>
      <c r="D85" s="28" t="str">
        <f>COM_OF!$AD$6</f>
        <v>NR_ES-OF-SpHeat</v>
      </c>
      <c r="E85" s="42">
        <v>2020</v>
      </c>
      <c r="F85"/>
      <c r="G85" s="18"/>
      <c r="H85" s="20">
        <f t="shared" ref="H85:K93" si="14">H75</f>
        <v>15000</v>
      </c>
      <c r="I85" s="20">
        <f t="shared" si="14"/>
        <v>31.944444444444443</v>
      </c>
      <c r="J85" s="50">
        <f t="shared" si="14"/>
        <v>0.37</v>
      </c>
      <c r="K85" s="50">
        <f t="shared" si="14"/>
        <v>1.4054054054054055</v>
      </c>
      <c r="L85" s="20"/>
      <c r="M85" s="20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9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</row>
    <row r="86" spans="1:105" s="16" customFormat="1" ht="13.5" customHeight="1" x14ac:dyDescent="0.2">
      <c r="A86" s="41"/>
      <c r="B86"/>
      <c r="C86" s="26"/>
      <c r="D86" s="42"/>
      <c r="E86" s="42">
        <v>2030</v>
      </c>
      <c r="F86"/>
      <c r="G86" s="18"/>
      <c r="H86" s="20">
        <f t="shared" si="14"/>
        <v>11500</v>
      </c>
      <c r="I86" s="20">
        <f t="shared" si="14"/>
        <v>19.444444444444443</v>
      </c>
      <c r="J86" s="50">
        <f t="shared" si="14"/>
        <v>0.38</v>
      </c>
      <c r="K86" s="50">
        <f t="shared" si="14"/>
        <v>1.368421052631579</v>
      </c>
      <c r="L86" s="20"/>
      <c r="M86" s="20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9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</row>
    <row r="87" spans="1:105" s="16" customFormat="1" ht="13.5" customHeight="1" x14ac:dyDescent="0.2">
      <c r="A87" s="41"/>
      <c r="B87"/>
      <c r="C87" s="26"/>
      <c r="D87" s="42"/>
      <c r="E87" s="42">
        <v>2040</v>
      </c>
      <c r="F87"/>
      <c r="G87" s="18"/>
      <c r="H87" s="20">
        <f t="shared" si="14"/>
        <v>8500</v>
      </c>
      <c r="I87" s="20">
        <f t="shared" si="14"/>
        <v>13.888888888888889</v>
      </c>
      <c r="J87" s="50">
        <f t="shared" si="14"/>
        <v>0.39</v>
      </c>
      <c r="K87" s="50">
        <f t="shared" si="14"/>
        <v>1.3333333333333333</v>
      </c>
      <c r="L87" s="20"/>
      <c r="M87" s="20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9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</row>
    <row r="88" spans="1:105" s="16" customFormat="1" ht="13.5" customHeight="1" x14ac:dyDescent="0.2">
      <c r="A88" s="41"/>
      <c r="B88"/>
      <c r="C88" s="26"/>
      <c r="E88" s="42">
        <v>2050</v>
      </c>
      <c r="F88"/>
      <c r="G88" s="18"/>
      <c r="H88" s="20">
        <f t="shared" si="14"/>
        <v>7800</v>
      </c>
      <c r="I88" s="20">
        <f t="shared" si="14"/>
        <v>12.5</v>
      </c>
      <c r="J88" s="50">
        <f t="shared" si="14"/>
        <v>0.39</v>
      </c>
      <c r="K88" s="50">
        <f t="shared" si="14"/>
        <v>1.3333333333333333</v>
      </c>
      <c r="L88" s="20"/>
      <c r="M88" s="20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9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</row>
    <row r="89" spans="1:105" s="16" customFormat="1" ht="13.5" customHeight="1" x14ac:dyDescent="0.2">
      <c r="A89" s="41"/>
      <c r="B89" t="str">
        <f>"C_ES-SP-OF_"&amp;RIGHT(C89,3)&amp;"SOFC"</f>
        <v>C_ES-SP-OF_GASSOFC</v>
      </c>
      <c r="C89" s="26" t="s">
        <v>35</v>
      </c>
      <c r="D89" s="42" t="s">
        <v>294</v>
      </c>
      <c r="E89" s="93">
        <f>M89</f>
        <v>2011</v>
      </c>
      <c r="F89">
        <v>1</v>
      </c>
      <c r="G89" s="18">
        <f>'Generalized Data'!$C$4</f>
        <v>31.536000000000001</v>
      </c>
      <c r="H89" s="20">
        <f t="shared" si="14"/>
        <v>18000</v>
      </c>
      <c r="I89" s="20">
        <f t="shared" si="14"/>
        <v>33.333333333333336</v>
      </c>
      <c r="J89" s="50">
        <f t="shared" si="14"/>
        <v>0.53</v>
      </c>
      <c r="K89" s="50">
        <f t="shared" si="14"/>
        <v>0.60377358490566035</v>
      </c>
      <c r="L89" s="20">
        <f>L79</f>
        <v>20</v>
      </c>
      <c r="M89" s="91">
        <v>2011</v>
      </c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9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</row>
    <row r="90" spans="1:105" s="16" customFormat="1" ht="13.5" customHeight="1" x14ac:dyDescent="0.2">
      <c r="A90" s="41"/>
      <c r="B90" s="41"/>
      <c r="C90" s="26"/>
      <c r="D90" s="28" t="str">
        <f>COM_OF!$AD$6</f>
        <v>NR_ES-OF-SpHeat</v>
      </c>
      <c r="E90" s="42">
        <v>2020</v>
      </c>
      <c r="F90"/>
      <c r="G90" s="18"/>
      <c r="H90" s="20">
        <f t="shared" si="14"/>
        <v>6300</v>
      </c>
      <c r="I90" s="20">
        <f t="shared" si="14"/>
        <v>18.055555555555554</v>
      </c>
      <c r="J90" s="50">
        <f t="shared" si="14"/>
        <v>0.53</v>
      </c>
      <c r="K90" s="50">
        <f t="shared" si="14"/>
        <v>0.60377358490566035</v>
      </c>
      <c r="L90" s="3"/>
      <c r="M90" s="2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9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</row>
    <row r="91" spans="1:105" s="16" customFormat="1" ht="13.5" customHeight="1" x14ac:dyDescent="0.2">
      <c r="A91" s="41"/>
      <c r="B91" s="41"/>
      <c r="C91" s="42"/>
      <c r="D91" s="42"/>
      <c r="E91" s="42">
        <v>2030</v>
      </c>
      <c r="F91" s="42"/>
      <c r="G91" s="42"/>
      <c r="H91" s="20">
        <f t="shared" si="14"/>
        <v>4000</v>
      </c>
      <c r="I91" s="20">
        <f t="shared" si="14"/>
        <v>6.9444444444444446</v>
      </c>
      <c r="J91" s="50">
        <f t="shared" si="14"/>
        <v>0.55000000000000004</v>
      </c>
      <c r="K91" s="50">
        <f t="shared" si="14"/>
        <v>0.58181818181818179</v>
      </c>
      <c r="L91" s="3"/>
      <c r="M91" s="2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9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</row>
    <row r="92" spans="1:105" s="16" customFormat="1" ht="13.5" customHeight="1" x14ac:dyDescent="0.2">
      <c r="A92" s="41"/>
      <c r="B92" s="41"/>
      <c r="C92" s="42"/>
      <c r="D92" s="42"/>
      <c r="E92" s="42">
        <v>2040</v>
      </c>
      <c r="F92" s="42"/>
      <c r="G92" s="42"/>
      <c r="H92" s="20">
        <f t="shared" si="14"/>
        <v>2550</v>
      </c>
      <c r="I92" s="20">
        <f t="shared" si="14"/>
        <v>2.7777777777777777</v>
      </c>
      <c r="J92" s="50">
        <f t="shared" si="14"/>
        <v>0.59</v>
      </c>
      <c r="K92" s="50">
        <f t="shared" si="14"/>
        <v>0.57627118644067798</v>
      </c>
      <c r="L92" s="3"/>
      <c r="M92" s="2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9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</row>
    <row r="93" spans="1:105" s="16" customFormat="1" ht="13.5" customHeight="1" x14ac:dyDescent="0.2">
      <c r="A93" s="41"/>
      <c r="B93" s="41"/>
      <c r="C93" s="42"/>
      <c r="D93" s="42"/>
      <c r="E93" s="42">
        <v>2050</v>
      </c>
      <c r="F93" s="42"/>
      <c r="G93" s="42"/>
      <c r="H93" s="20">
        <f t="shared" si="14"/>
        <v>1850</v>
      </c>
      <c r="I93" s="20">
        <f t="shared" si="14"/>
        <v>2.2222222222222223</v>
      </c>
      <c r="J93" s="50">
        <f t="shared" si="14"/>
        <v>0.6</v>
      </c>
      <c r="K93" s="50">
        <f t="shared" si="14"/>
        <v>0.56666666666666676</v>
      </c>
      <c r="L93" s="3"/>
      <c r="M93" s="2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9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</row>
    <row r="94" spans="1:105" s="16" customFormat="1" ht="13.5" customHeight="1" x14ac:dyDescent="0.2">
      <c r="A94" s="41"/>
      <c r="B94" s="41"/>
      <c r="C94" s="42"/>
      <c r="D94" s="42"/>
      <c r="E94" s="42"/>
      <c r="F94" s="42"/>
      <c r="G94" s="42"/>
      <c r="H94" s="43"/>
      <c r="I94" s="44"/>
      <c r="J94" s="45"/>
      <c r="K94" s="46"/>
      <c r="L94" s="47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9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</row>
    <row r="96" spans="1:105" ht="18" x14ac:dyDescent="0.25">
      <c r="C96" s="31"/>
      <c r="K96" s="2"/>
      <c r="L96" s="3"/>
      <c r="M96" s="4"/>
      <c r="N96" s="5"/>
      <c r="O96" s="2"/>
      <c r="AO96" s="5"/>
    </row>
    <row r="99" spans="1:23" x14ac:dyDescent="0.2">
      <c r="A99" s="6" t="s">
        <v>234</v>
      </c>
    </row>
    <row r="100" spans="1:23" x14ac:dyDescent="0.2">
      <c r="A100" s="6"/>
    </row>
    <row r="101" spans="1:23" x14ac:dyDescent="0.2">
      <c r="B101" s="1"/>
      <c r="E101" s="1" t="s">
        <v>15</v>
      </c>
      <c r="G101" s="2"/>
      <c r="H101" s="5"/>
      <c r="I101" s="4"/>
      <c r="J101" s="3"/>
      <c r="K101" s="3"/>
      <c r="L101" s="3"/>
    </row>
    <row r="102" spans="1:23" ht="13.5" thickBot="1" x14ac:dyDescent="0.25">
      <c r="A102" s="7" t="s">
        <v>16</v>
      </c>
      <c r="B102" s="7" t="s">
        <v>17</v>
      </c>
      <c r="C102" s="8" t="s">
        <v>19</v>
      </c>
      <c r="D102" s="8" t="s">
        <v>20</v>
      </c>
      <c r="E102" s="8" t="s">
        <v>21</v>
      </c>
      <c r="F102" s="9" t="s">
        <v>463</v>
      </c>
      <c r="G102" s="10" t="s">
        <v>23</v>
      </c>
      <c r="H102" s="12" t="s">
        <v>24</v>
      </c>
      <c r="I102" s="13" t="s">
        <v>25</v>
      </c>
      <c r="J102" s="11" t="s">
        <v>258</v>
      </c>
      <c r="K102" s="10" t="s">
        <v>26</v>
      </c>
      <c r="L102" s="10" t="s">
        <v>29</v>
      </c>
      <c r="M102" s="10" t="s">
        <v>462</v>
      </c>
    </row>
    <row r="103" spans="1:23" x14ac:dyDescent="0.2">
      <c r="B103" t="str">
        <f>"C_ES-CK-HO_"&amp;RIGHT(C103,3)&amp;"01"</f>
        <v>C_ES-CK-HO_ELC01</v>
      </c>
      <c r="C103" t="s">
        <v>32</v>
      </c>
      <c r="D103" t="str">
        <f>$R$103</f>
        <v>NR_ES-HO-Cook</v>
      </c>
      <c r="E103">
        <f>L103</f>
        <v>2011</v>
      </c>
      <c r="F103">
        <v>1</v>
      </c>
      <c r="G103" s="18">
        <f>'Generalized Data'!$C$5</f>
        <v>1</v>
      </c>
      <c r="H103" s="4">
        <f>'Generalized Data'!C157</f>
        <v>1.8013588736000001E-2</v>
      </c>
      <c r="I103" s="4">
        <f>'Generalized Data'!E157</f>
        <v>0.90067943679999996</v>
      </c>
      <c r="J103" s="3">
        <f>'Generalized Data'!G157</f>
        <v>1</v>
      </c>
      <c r="K103" s="2">
        <f>'Generalized Data'!M157</f>
        <v>15</v>
      </c>
      <c r="L103" s="91">
        <v>2011</v>
      </c>
      <c r="R103" t="s">
        <v>415</v>
      </c>
    </row>
    <row r="104" spans="1:23" x14ac:dyDescent="0.2">
      <c r="B104" t="str">
        <f>"C_ES-CK-HO_"&amp;RIGHT(C104,3)&amp;"01"</f>
        <v>C_ES-CK-HO_GAS01</v>
      </c>
      <c r="C104" t="s">
        <v>35</v>
      </c>
      <c r="D104" t="str">
        <f>$R$103</f>
        <v>NR_ES-HO-Cook</v>
      </c>
      <c r="E104">
        <f>L104</f>
        <v>2011</v>
      </c>
      <c r="F104">
        <v>1</v>
      </c>
      <c r="G104" s="18">
        <f>'Generalized Data'!$C$5</f>
        <v>1</v>
      </c>
      <c r="H104" s="4">
        <f>'Generalized Data'!C158</f>
        <v>6.7550957759999995E-3</v>
      </c>
      <c r="I104" s="4">
        <f>'Generalized Data'!E158</f>
        <v>0.33775478879999998</v>
      </c>
      <c r="J104" s="3">
        <f>'Generalized Data'!G158</f>
        <v>1</v>
      </c>
      <c r="K104" s="2">
        <f>'Generalized Data'!M158</f>
        <v>15</v>
      </c>
      <c r="L104" s="91">
        <v>2011</v>
      </c>
      <c r="R104" t="s">
        <v>419</v>
      </c>
    </row>
    <row r="105" spans="1:23" x14ac:dyDescent="0.2">
      <c r="B105" t="str">
        <f>"C_ES-CK-HO_"&amp;RIGHT(C105,3)&amp;"01"</f>
        <v>C_ES-CK-HO_LPG01</v>
      </c>
      <c r="C105" t="s">
        <v>65</v>
      </c>
      <c r="D105" t="str">
        <f>$R$103</f>
        <v>NR_ES-HO-Cook</v>
      </c>
      <c r="E105">
        <f>L105</f>
        <v>2011</v>
      </c>
      <c r="F105">
        <v>1</v>
      </c>
      <c r="G105" s="18">
        <f>'Generalized Data'!$C$5</f>
        <v>1</v>
      </c>
      <c r="H105" s="4">
        <f>'Generalized Data'!C159</f>
        <v>4.5033971840000003E-3</v>
      </c>
      <c r="I105" s="4">
        <f>'Generalized Data'!E159</f>
        <v>0.22516985919999999</v>
      </c>
      <c r="J105" s="3">
        <f>'Generalized Data'!G159</f>
        <v>0.6</v>
      </c>
      <c r="K105" s="2">
        <f>'Generalized Data'!M159</f>
        <v>15</v>
      </c>
      <c r="L105" s="91">
        <v>2011</v>
      </c>
      <c r="R105" t="s">
        <v>423</v>
      </c>
    </row>
    <row r="106" spans="1:23" x14ac:dyDescent="0.2">
      <c r="B106" t="str">
        <f>"C_ES-CK-HR_"&amp;RIGHT(C106,3)&amp;"01"</f>
        <v>C_ES-CK-HR_ELC01</v>
      </c>
      <c r="C106" t="s">
        <v>32</v>
      </c>
      <c r="D106" t="str">
        <f>$R$104</f>
        <v>NR_ES-HR-Cook</v>
      </c>
      <c r="E106">
        <f t="shared" ref="E106:L106" si="15">E103</f>
        <v>2011</v>
      </c>
      <c r="F106">
        <f t="shared" si="15"/>
        <v>1</v>
      </c>
      <c r="G106" s="18">
        <f t="shared" si="15"/>
        <v>1</v>
      </c>
      <c r="H106" s="4">
        <f t="shared" si="15"/>
        <v>1.8013588736000001E-2</v>
      </c>
      <c r="I106" s="4">
        <f t="shared" si="15"/>
        <v>0.90067943679999996</v>
      </c>
      <c r="J106" s="3">
        <f t="shared" si="15"/>
        <v>1</v>
      </c>
      <c r="K106" s="2">
        <f t="shared" si="15"/>
        <v>15</v>
      </c>
      <c r="L106" s="91">
        <f t="shared" si="15"/>
        <v>2011</v>
      </c>
      <c r="R106" t="s">
        <v>427</v>
      </c>
    </row>
    <row r="107" spans="1:23" x14ac:dyDescent="0.2">
      <c r="B107" t="str">
        <f>"C_ES-CK-HR_"&amp;RIGHT(C107,3)&amp;"01"</f>
        <v>C_ES-CK-HR_GAS01</v>
      </c>
      <c r="C107" t="s">
        <v>35</v>
      </c>
      <c r="D107" t="str">
        <f>$R$104</f>
        <v>NR_ES-HR-Cook</v>
      </c>
      <c r="E107">
        <f t="shared" ref="E107:J107" si="16">E104</f>
        <v>2011</v>
      </c>
      <c r="F107">
        <f t="shared" si="16"/>
        <v>1</v>
      </c>
      <c r="G107" s="18">
        <f t="shared" si="16"/>
        <v>1</v>
      </c>
      <c r="H107" s="4">
        <f t="shared" si="16"/>
        <v>6.7550957759999995E-3</v>
      </c>
      <c r="I107" s="4">
        <f t="shared" si="16"/>
        <v>0.33775478879999998</v>
      </c>
      <c r="J107" s="3">
        <f t="shared" si="16"/>
        <v>1</v>
      </c>
      <c r="K107" s="2">
        <f t="shared" ref="K107:L120" si="17">K104</f>
        <v>15</v>
      </c>
      <c r="L107" s="91">
        <f t="shared" si="17"/>
        <v>2011</v>
      </c>
      <c r="R107" t="s">
        <v>431</v>
      </c>
    </row>
    <row r="108" spans="1:23" x14ac:dyDescent="0.2">
      <c r="B108" t="str">
        <f>"C_ES-CK-HR_"&amp;RIGHT(C108,3)&amp;"01"</f>
        <v>C_ES-CK-HR_LPG01</v>
      </c>
      <c r="C108" t="s">
        <v>65</v>
      </c>
      <c r="D108" t="str">
        <f>$R$104</f>
        <v>NR_ES-HR-Cook</v>
      </c>
      <c r="E108">
        <f t="shared" ref="E108:J108" si="18">E105</f>
        <v>2011</v>
      </c>
      <c r="F108">
        <f t="shared" si="18"/>
        <v>1</v>
      </c>
      <c r="G108" s="18">
        <f t="shared" si="18"/>
        <v>1</v>
      </c>
      <c r="H108" s="4">
        <f t="shared" si="18"/>
        <v>4.5033971840000003E-3</v>
      </c>
      <c r="I108" s="4">
        <f t="shared" si="18"/>
        <v>0.22516985919999999</v>
      </c>
      <c r="J108" s="3">
        <f t="shared" si="18"/>
        <v>0.6</v>
      </c>
      <c r="K108" s="2">
        <f t="shared" si="17"/>
        <v>15</v>
      </c>
      <c r="L108" s="91">
        <f t="shared" si="17"/>
        <v>2011</v>
      </c>
      <c r="R108" t="s">
        <v>435</v>
      </c>
    </row>
    <row r="109" spans="1:23" x14ac:dyDescent="0.2">
      <c r="B109" t="str">
        <f>"C_ES-CK-SR_"&amp;RIGHT(C109,3)&amp;"01"</f>
        <v>C_ES-CK-SR_ELC01</v>
      </c>
      <c r="C109" t="s">
        <v>32</v>
      </c>
      <c r="D109" t="str">
        <f>$R$105</f>
        <v>NR_ES-SR-Cook</v>
      </c>
      <c r="E109">
        <f t="shared" ref="E109:J109" si="19">E106</f>
        <v>2011</v>
      </c>
      <c r="F109">
        <f t="shared" si="19"/>
        <v>1</v>
      </c>
      <c r="G109" s="18">
        <f t="shared" si="19"/>
        <v>1</v>
      </c>
      <c r="H109" s="4">
        <f t="shared" si="19"/>
        <v>1.8013588736000001E-2</v>
      </c>
      <c r="I109" s="4">
        <f t="shared" si="19"/>
        <v>0.90067943679999996</v>
      </c>
      <c r="J109" s="3">
        <f t="shared" si="19"/>
        <v>1</v>
      </c>
      <c r="K109" s="2">
        <f t="shared" si="17"/>
        <v>15</v>
      </c>
      <c r="L109" s="91">
        <f t="shared" si="17"/>
        <v>2011</v>
      </c>
    </row>
    <row r="110" spans="1:23" x14ac:dyDescent="0.2">
      <c r="B110" t="str">
        <f>"C_ES-CK-SR_"&amp;RIGHT(C110,3)&amp;"01"</f>
        <v>C_ES-CK-SR_GAS01</v>
      </c>
      <c r="C110" t="s">
        <v>35</v>
      </c>
      <c r="D110" t="str">
        <f>$R$105</f>
        <v>NR_ES-SR-Cook</v>
      </c>
      <c r="E110">
        <f t="shared" ref="E110:J110" si="20">E107</f>
        <v>2011</v>
      </c>
      <c r="F110">
        <f t="shared" si="20"/>
        <v>1</v>
      </c>
      <c r="G110" s="18">
        <f t="shared" si="20"/>
        <v>1</v>
      </c>
      <c r="H110" s="4">
        <f t="shared" si="20"/>
        <v>6.7550957759999995E-3</v>
      </c>
      <c r="I110" s="4">
        <f t="shared" si="20"/>
        <v>0.33775478879999998</v>
      </c>
      <c r="J110" s="3">
        <f t="shared" si="20"/>
        <v>1</v>
      </c>
      <c r="K110" s="2">
        <f t="shared" si="17"/>
        <v>15</v>
      </c>
      <c r="L110" s="91">
        <f t="shared" si="17"/>
        <v>2011</v>
      </c>
      <c r="R110" t="s">
        <v>450</v>
      </c>
      <c r="S110" t="s">
        <v>442</v>
      </c>
      <c r="T110" t="s">
        <v>443</v>
      </c>
      <c r="U110" t="s">
        <v>441</v>
      </c>
      <c r="W110" t="s">
        <v>461</v>
      </c>
    </row>
    <row r="111" spans="1:23" x14ac:dyDescent="0.2">
      <c r="B111" t="str">
        <f>"C_ES-CK-SR_"&amp;RIGHT(C111,3)&amp;"01"</f>
        <v>C_ES-CK-SR_LPG01</v>
      </c>
      <c r="C111" t="s">
        <v>65</v>
      </c>
      <c r="D111" t="str">
        <f>$R$105</f>
        <v>NR_ES-SR-Cook</v>
      </c>
      <c r="E111">
        <f t="shared" ref="E111:J111" si="21">E108</f>
        <v>2011</v>
      </c>
      <c r="F111">
        <f t="shared" si="21"/>
        <v>1</v>
      </c>
      <c r="G111" s="18">
        <f t="shared" si="21"/>
        <v>1</v>
      </c>
      <c r="H111" s="4">
        <f t="shared" si="21"/>
        <v>4.5033971840000003E-3</v>
      </c>
      <c r="I111" s="4">
        <f t="shared" si="21"/>
        <v>0.22516985919999999</v>
      </c>
      <c r="J111" s="3">
        <f t="shared" si="21"/>
        <v>0.6</v>
      </c>
      <c r="K111" s="2">
        <f t="shared" si="17"/>
        <v>15</v>
      </c>
      <c r="L111" s="91">
        <f t="shared" si="17"/>
        <v>2011</v>
      </c>
      <c r="R111" t="s">
        <v>451</v>
      </c>
      <c r="S111" t="s">
        <v>444</v>
      </c>
      <c r="T111" t="s">
        <v>443</v>
      </c>
      <c r="U111" t="s">
        <v>441</v>
      </c>
      <c r="W111" t="s">
        <v>456</v>
      </c>
    </row>
    <row r="112" spans="1:23" x14ac:dyDescent="0.2">
      <c r="B112" t="str">
        <f>"C_ES-CK-SL_"&amp;RIGHT(C112,3)&amp;"01"</f>
        <v>C_ES-CK-SL_ELC01</v>
      </c>
      <c r="C112" t="s">
        <v>32</v>
      </c>
      <c r="D112" t="str">
        <f>$R$106</f>
        <v>NR_ES-SL-Cook</v>
      </c>
      <c r="E112">
        <f t="shared" ref="E112:J112" si="22">E109</f>
        <v>2011</v>
      </c>
      <c r="F112">
        <f t="shared" si="22"/>
        <v>1</v>
      </c>
      <c r="G112" s="18">
        <f t="shared" si="22"/>
        <v>1</v>
      </c>
      <c r="H112" s="4">
        <f t="shared" si="22"/>
        <v>1.8013588736000001E-2</v>
      </c>
      <c r="I112" s="4">
        <f t="shared" si="22"/>
        <v>0.90067943679999996</v>
      </c>
      <c r="J112" s="3">
        <f t="shared" si="22"/>
        <v>1</v>
      </c>
      <c r="K112" s="2">
        <f t="shared" si="17"/>
        <v>15</v>
      </c>
      <c r="L112" s="91">
        <f t="shared" si="17"/>
        <v>2011</v>
      </c>
      <c r="R112" t="s">
        <v>452</v>
      </c>
      <c r="S112" t="s">
        <v>445</v>
      </c>
      <c r="T112" t="s">
        <v>440</v>
      </c>
      <c r="U112" t="s">
        <v>446</v>
      </c>
      <c r="W112" t="s">
        <v>457</v>
      </c>
    </row>
    <row r="113" spans="1:37" x14ac:dyDescent="0.2">
      <c r="B113" t="str">
        <f>"C_ES-CK-SL_"&amp;RIGHT(C113,3)&amp;"01"</f>
        <v>C_ES-CK-SL_GAS01</v>
      </c>
      <c r="C113" t="s">
        <v>35</v>
      </c>
      <c r="D113" t="str">
        <f>$R$106</f>
        <v>NR_ES-SL-Cook</v>
      </c>
      <c r="E113">
        <f t="shared" ref="E113:J113" si="23">E110</f>
        <v>2011</v>
      </c>
      <c r="F113">
        <f t="shared" si="23"/>
        <v>1</v>
      </c>
      <c r="G113" s="18">
        <f t="shared" si="23"/>
        <v>1</v>
      </c>
      <c r="H113" s="4">
        <f t="shared" si="23"/>
        <v>6.7550957759999995E-3</v>
      </c>
      <c r="I113" s="4">
        <f t="shared" si="23"/>
        <v>0.33775478879999998</v>
      </c>
      <c r="J113" s="3">
        <f t="shared" si="23"/>
        <v>1</v>
      </c>
      <c r="K113" s="2">
        <f t="shared" si="17"/>
        <v>15</v>
      </c>
      <c r="L113" s="91">
        <f t="shared" si="17"/>
        <v>2011</v>
      </c>
      <c r="R113" t="s">
        <v>453</v>
      </c>
      <c r="S113" t="s">
        <v>447</v>
      </c>
      <c r="T113" t="s">
        <v>440</v>
      </c>
      <c r="U113" t="s">
        <v>446</v>
      </c>
      <c r="W113" t="s">
        <v>458</v>
      </c>
    </row>
    <row r="114" spans="1:37" x14ac:dyDescent="0.2">
      <c r="B114" t="str">
        <f>"C_ES-CK-SL_"&amp;RIGHT(C114,3)&amp;"01"</f>
        <v>C_ES-CK-SL_LPG01</v>
      </c>
      <c r="C114" t="s">
        <v>65</v>
      </c>
      <c r="D114" t="str">
        <f>$R$106</f>
        <v>NR_ES-SL-Cook</v>
      </c>
      <c r="E114">
        <f t="shared" ref="E114:J114" si="24">E111</f>
        <v>2011</v>
      </c>
      <c r="F114">
        <f t="shared" si="24"/>
        <v>1</v>
      </c>
      <c r="G114" s="18">
        <f t="shared" si="24"/>
        <v>1</v>
      </c>
      <c r="H114" s="4">
        <f t="shared" si="24"/>
        <v>4.5033971840000003E-3</v>
      </c>
      <c r="I114" s="4">
        <f t="shared" si="24"/>
        <v>0.22516985919999999</v>
      </c>
      <c r="J114" s="3">
        <f t="shared" si="24"/>
        <v>0.6</v>
      </c>
      <c r="K114" s="2">
        <f t="shared" si="17"/>
        <v>15</v>
      </c>
      <c r="L114" s="91">
        <f t="shared" si="17"/>
        <v>2011</v>
      </c>
      <c r="R114" t="s">
        <v>454</v>
      </c>
      <c r="S114" t="s">
        <v>448</v>
      </c>
      <c r="T114" t="s">
        <v>440</v>
      </c>
      <c r="U114" t="s">
        <v>446</v>
      </c>
      <c r="W114" t="s">
        <v>459</v>
      </c>
    </row>
    <row r="115" spans="1:37" x14ac:dyDescent="0.2">
      <c r="B115" t="str">
        <f>"C_ES-CK-SS_"&amp;RIGHT(C115,3)&amp;"01"</f>
        <v>C_ES-CK-SS_ELC01</v>
      </c>
      <c r="C115" t="s">
        <v>32</v>
      </c>
      <c r="D115" t="str">
        <f>$R$107</f>
        <v>NR_ES-SS-Cook</v>
      </c>
      <c r="E115">
        <f t="shared" ref="E115:J115" si="25">E112</f>
        <v>2011</v>
      </c>
      <c r="F115">
        <f t="shared" si="25"/>
        <v>1</v>
      </c>
      <c r="G115" s="18">
        <f t="shared" si="25"/>
        <v>1</v>
      </c>
      <c r="H115" s="4">
        <f t="shared" si="25"/>
        <v>1.8013588736000001E-2</v>
      </c>
      <c r="I115" s="4">
        <f t="shared" si="25"/>
        <v>0.90067943679999996</v>
      </c>
      <c r="J115" s="3">
        <f t="shared" si="25"/>
        <v>1</v>
      </c>
      <c r="K115" s="2">
        <f t="shared" si="17"/>
        <v>15</v>
      </c>
      <c r="L115" s="91">
        <f t="shared" si="17"/>
        <v>2011</v>
      </c>
      <c r="R115" t="s">
        <v>455</v>
      </c>
      <c r="S115" t="s">
        <v>449</v>
      </c>
      <c r="T115" t="s">
        <v>443</v>
      </c>
      <c r="U115" t="s">
        <v>441</v>
      </c>
      <c r="W115" t="s">
        <v>460</v>
      </c>
    </row>
    <row r="116" spans="1:37" x14ac:dyDescent="0.2">
      <c r="B116" t="str">
        <f>"C_ES-CK-SS_"&amp;RIGHT(C116,3)&amp;"01"</f>
        <v>C_ES-CK-SS_GAS01</v>
      </c>
      <c r="C116" t="s">
        <v>35</v>
      </c>
      <c r="D116" t="str">
        <f>$R$107</f>
        <v>NR_ES-SS-Cook</v>
      </c>
      <c r="E116">
        <f t="shared" ref="E116:J116" si="26">E113</f>
        <v>2011</v>
      </c>
      <c r="F116">
        <f t="shared" si="26"/>
        <v>1</v>
      </c>
      <c r="G116" s="18">
        <f t="shared" si="26"/>
        <v>1</v>
      </c>
      <c r="H116" s="4">
        <f t="shared" si="26"/>
        <v>6.7550957759999995E-3</v>
      </c>
      <c r="I116" s="4">
        <f t="shared" si="26"/>
        <v>0.33775478879999998</v>
      </c>
      <c r="J116" s="3">
        <f t="shared" si="26"/>
        <v>1</v>
      </c>
      <c r="K116" s="2">
        <f t="shared" si="17"/>
        <v>15</v>
      </c>
      <c r="L116" s="91">
        <f t="shared" si="17"/>
        <v>2011</v>
      </c>
    </row>
    <row r="117" spans="1:37" x14ac:dyDescent="0.2">
      <c r="B117" t="str">
        <f>"C_ES-CK-SS_"&amp;RIGHT(C117,3)&amp;"01"</f>
        <v>C_ES-CK-SS_LPG01</v>
      </c>
      <c r="C117" t="s">
        <v>65</v>
      </c>
      <c r="D117" t="str">
        <f>$R$107</f>
        <v>NR_ES-SS-Cook</v>
      </c>
      <c r="E117">
        <f t="shared" ref="E117:J117" si="27">E114</f>
        <v>2011</v>
      </c>
      <c r="F117">
        <f t="shared" si="27"/>
        <v>1</v>
      </c>
      <c r="G117" s="18">
        <f t="shared" si="27"/>
        <v>1</v>
      </c>
      <c r="H117" s="4">
        <f t="shared" si="27"/>
        <v>4.5033971840000003E-3</v>
      </c>
      <c r="I117" s="4">
        <f t="shared" si="27"/>
        <v>0.22516985919999999</v>
      </c>
      <c r="J117" s="3">
        <f t="shared" si="27"/>
        <v>0.6</v>
      </c>
      <c r="K117" s="2">
        <f t="shared" si="17"/>
        <v>15</v>
      </c>
      <c r="L117" s="91">
        <f t="shared" si="17"/>
        <v>2011</v>
      </c>
    </row>
    <row r="118" spans="1:37" x14ac:dyDescent="0.2">
      <c r="B118" t="str">
        <f>"C_ES-CK-OF_"&amp;RIGHT(C118,3)&amp;"01"</f>
        <v>C_ES-CK-OF_ELC01</v>
      </c>
      <c r="C118" t="s">
        <v>32</v>
      </c>
      <c r="D118" t="str">
        <f>$R$108</f>
        <v>NR_ES-OF-Cook</v>
      </c>
      <c r="E118">
        <f t="shared" ref="E118:J118" si="28">E115</f>
        <v>2011</v>
      </c>
      <c r="F118">
        <f t="shared" si="28"/>
        <v>1</v>
      </c>
      <c r="G118" s="18">
        <f t="shared" si="28"/>
        <v>1</v>
      </c>
      <c r="H118" s="4">
        <f t="shared" si="28"/>
        <v>1.8013588736000001E-2</v>
      </c>
      <c r="I118" s="4">
        <f t="shared" si="28"/>
        <v>0.90067943679999996</v>
      </c>
      <c r="J118" s="3">
        <f t="shared" si="28"/>
        <v>1</v>
      </c>
      <c r="K118" s="2">
        <f t="shared" si="17"/>
        <v>15</v>
      </c>
      <c r="L118" s="91">
        <f t="shared" si="17"/>
        <v>2011</v>
      </c>
    </row>
    <row r="119" spans="1:37" x14ac:dyDescent="0.2">
      <c r="B119" t="str">
        <f>"C_ES-CK-OF_"&amp;RIGHT(C119,3)&amp;"01"</f>
        <v>C_ES-CK-OF_GAS01</v>
      </c>
      <c r="C119" t="s">
        <v>35</v>
      </c>
      <c r="D119" t="str">
        <f>$R$108</f>
        <v>NR_ES-OF-Cook</v>
      </c>
      <c r="E119">
        <f t="shared" ref="E119:J119" si="29">E116</f>
        <v>2011</v>
      </c>
      <c r="F119">
        <f t="shared" si="29"/>
        <v>1</v>
      </c>
      <c r="G119" s="18">
        <f t="shared" si="29"/>
        <v>1</v>
      </c>
      <c r="H119" s="4">
        <f t="shared" si="29"/>
        <v>6.7550957759999995E-3</v>
      </c>
      <c r="I119" s="4">
        <f t="shared" si="29"/>
        <v>0.33775478879999998</v>
      </c>
      <c r="J119" s="3">
        <f t="shared" si="29"/>
        <v>1</v>
      </c>
      <c r="K119" s="2">
        <f t="shared" si="17"/>
        <v>15</v>
      </c>
      <c r="L119" s="91">
        <f t="shared" si="17"/>
        <v>2011</v>
      </c>
      <c r="AH119" s="30" t="s">
        <v>510</v>
      </c>
      <c r="AI119" s="131" t="s">
        <v>511</v>
      </c>
      <c r="AJ119" s="98"/>
      <c r="AK119" s="98"/>
    </row>
    <row r="120" spans="1:37" x14ac:dyDescent="0.2">
      <c r="A120" s="103"/>
      <c r="B120" s="103" t="str">
        <f>"C_ES-CK-OF_"&amp;RIGHT(C120,3)&amp;"01"</f>
        <v>C_ES-CK-OF_LPG01</v>
      </c>
      <c r="C120" s="103" t="s">
        <v>65</v>
      </c>
      <c r="D120" s="103" t="str">
        <f>$R$108</f>
        <v>NR_ES-OF-Cook</v>
      </c>
      <c r="E120" s="103">
        <f t="shared" ref="E120:J120" si="30">E117</f>
        <v>2011</v>
      </c>
      <c r="F120" s="103">
        <f t="shared" si="30"/>
        <v>1</v>
      </c>
      <c r="G120" s="115">
        <f t="shared" si="30"/>
        <v>1</v>
      </c>
      <c r="H120" s="116">
        <f t="shared" si="30"/>
        <v>4.5033971840000003E-3</v>
      </c>
      <c r="I120" s="116">
        <f t="shared" si="30"/>
        <v>0.22516985919999999</v>
      </c>
      <c r="J120" s="117">
        <f t="shared" si="30"/>
        <v>0.6</v>
      </c>
      <c r="K120" s="118">
        <f t="shared" si="17"/>
        <v>15</v>
      </c>
      <c r="L120" s="119">
        <f t="shared" si="17"/>
        <v>2011</v>
      </c>
      <c r="M120" s="103"/>
      <c r="N120" s="103"/>
      <c r="R120" s="30" t="s">
        <v>492</v>
      </c>
      <c r="S120" s="30" t="s">
        <v>493</v>
      </c>
      <c r="T120" s="30" t="s">
        <v>494</v>
      </c>
      <c r="U120" s="30" t="s">
        <v>496</v>
      </c>
      <c r="AB120" s="30" t="s">
        <v>502</v>
      </c>
      <c r="AC120" s="30" t="s">
        <v>501</v>
      </c>
      <c r="AD120" s="30" t="s">
        <v>503</v>
      </c>
      <c r="AF120" s="30" t="s">
        <v>504</v>
      </c>
      <c r="AH120" s="30" t="s">
        <v>505</v>
      </c>
      <c r="AI120" s="131" t="s">
        <v>505</v>
      </c>
      <c r="AJ120" s="98"/>
      <c r="AK120" s="131" t="s">
        <v>506</v>
      </c>
    </row>
    <row r="121" spans="1:37" x14ac:dyDescent="0.2">
      <c r="B121" t="str">
        <f>CONCATENATE($R$110,"1")</f>
        <v>NRbldg_N-BuildLight1</v>
      </c>
      <c r="C121" t="s">
        <v>32</v>
      </c>
      <c r="D121" t="str">
        <f>$W$110</f>
        <v>NR_BuildLight</v>
      </c>
      <c r="E121">
        <f t="shared" ref="E121:E130" si="31">L121</f>
        <v>2011</v>
      </c>
      <c r="F121">
        <v>1</v>
      </c>
      <c r="G121" s="18">
        <f>'Generalized Data'!$C$5</f>
        <v>1</v>
      </c>
      <c r="H121" s="4">
        <f>'Generalized Data'!C160</f>
        <v>0</v>
      </c>
      <c r="I121" s="3">
        <f>AK121</f>
        <v>0.39404725360000004</v>
      </c>
      <c r="J121" s="3">
        <f>'Generalized Data'!G160</f>
        <v>0.23837902264600713</v>
      </c>
      <c r="K121" s="2">
        <f>'Generalized Data'!M160</f>
        <v>1</v>
      </c>
      <c r="L121" s="91">
        <v>2011</v>
      </c>
      <c r="Q121" t="str">
        <f>'Generalized Data'!B160</f>
        <v>Incandescent STAD lighting system</v>
      </c>
      <c r="R121" s="30" t="s">
        <v>443</v>
      </c>
      <c r="S121" t="s">
        <v>446</v>
      </c>
      <c r="T121" s="30" t="s">
        <v>498</v>
      </c>
      <c r="U121" s="30" t="s">
        <v>508</v>
      </c>
      <c r="AB121">
        <v>10</v>
      </c>
      <c r="AC121">
        <v>100</v>
      </c>
      <c r="AD121">
        <v>350</v>
      </c>
      <c r="AF121" s="88">
        <f>AD121/(AB121*AC121)</f>
        <v>0.35</v>
      </c>
      <c r="AH121" s="21">
        <f>'Generalized Data'!E160</f>
        <v>1.1258492960000001E-3</v>
      </c>
      <c r="AI121" s="132">
        <f>AH121</f>
        <v>1.1258492960000001E-3</v>
      </c>
      <c r="AJ121" s="98"/>
      <c r="AK121" s="133">
        <f>AF121*AI121*1000</f>
        <v>0.39404725360000004</v>
      </c>
    </row>
    <row r="122" spans="1:37" x14ac:dyDescent="0.2">
      <c r="B122" t="str">
        <f>CONCATENATE($R$110,"2")</f>
        <v>NRbldg_N-BuildLight2</v>
      </c>
      <c r="C122" t="s">
        <v>32</v>
      </c>
      <c r="D122" t="str">
        <f>$W$110</f>
        <v>NR_BuildLight</v>
      </c>
      <c r="E122">
        <f t="shared" si="31"/>
        <v>2011</v>
      </c>
      <c r="F122">
        <v>1</v>
      </c>
      <c r="G122" s="18">
        <f>'Generalized Data'!$C$5</f>
        <v>1</v>
      </c>
      <c r="H122" s="4">
        <f>'Generalized Data'!C161</f>
        <v>0</v>
      </c>
      <c r="I122" s="3">
        <f>AK122</f>
        <v>0.49255906700000013</v>
      </c>
      <c r="J122" s="3">
        <f>'Generalized Data'!G161</f>
        <v>0.66746126340881995</v>
      </c>
      <c r="K122" s="2">
        <f>'Generalized Data'!M161</f>
        <v>2</v>
      </c>
      <c r="L122" s="91">
        <v>2011</v>
      </c>
      <c r="Q122" t="str">
        <f>'Generalized Data'!B161</f>
        <v xml:space="preserve">Incandescent IMP lighting system </v>
      </c>
      <c r="R122" s="30" t="s">
        <v>443</v>
      </c>
      <c r="S122" t="s">
        <v>446</v>
      </c>
      <c r="T122" s="30" t="s">
        <v>498</v>
      </c>
      <c r="U122" s="30" t="s">
        <v>508</v>
      </c>
      <c r="AB122">
        <v>15</v>
      </c>
      <c r="AC122">
        <v>80</v>
      </c>
      <c r="AD122">
        <v>350</v>
      </c>
      <c r="AF122" s="88">
        <f>AD122/(AB122*AC122)</f>
        <v>0.29166666666666669</v>
      </c>
      <c r="AH122" s="21">
        <f>'Generalized Data'!E161</f>
        <v>6.7550957759999995E-3</v>
      </c>
      <c r="AI122" s="132">
        <f>AI121*1.5</f>
        <v>1.6887739440000001E-3</v>
      </c>
      <c r="AJ122" s="98"/>
      <c r="AK122" s="133">
        <f>AF122*AI122*1000</f>
        <v>0.49255906700000013</v>
      </c>
    </row>
    <row r="123" spans="1:37" x14ac:dyDescent="0.2">
      <c r="B123" t="str">
        <f>CONCATENATE($R$110,"3")</f>
        <v>NRbldg_N-BuildLight3</v>
      </c>
      <c r="C123" t="s">
        <v>32</v>
      </c>
      <c r="D123" t="str">
        <f>$W$110</f>
        <v>NR_BuildLight</v>
      </c>
      <c r="E123">
        <f t="shared" si="31"/>
        <v>2011</v>
      </c>
      <c r="F123">
        <v>1</v>
      </c>
      <c r="G123" s="18">
        <f>'Generalized Data'!$C$5</f>
        <v>1</v>
      </c>
      <c r="H123" s="4">
        <f>'Generalized Data'!C162</f>
        <v>0</v>
      </c>
      <c r="I123" s="3">
        <f>AK123</f>
        <v>0.78809450720000007</v>
      </c>
      <c r="J123" s="3">
        <f>'Generalized Data'!G162</f>
        <v>0.66746126340881995</v>
      </c>
      <c r="K123" s="2">
        <f>'Generalized Data'!M162</f>
        <v>5</v>
      </c>
      <c r="L123" s="91">
        <v>2011</v>
      </c>
      <c r="Q123" t="str">
        <f>'Generalized Data'!B162</f>
        <v>Halogens lighting system</v>
      </c>
      <c r="R123" s="30" t="s">
        <v>443</v>
      </c>
      <c r="S123" t="s">
        <v>446</v>
      </c>
      <c r="T123" s="30" t="s">
        <v>498</v>
      </c>
      <c r="U123" s="30" t="s">
        <v>508</v>
      </c>
      <c r="AB123">
        <v>25</v>
      </c>
      <c r="AC123">
        <v>60</v>
      </c>
      <c r="AD123">
        <v>350</v>
      </c>
      <c r="AF123" s="88">
        <f>AD123/(AB123*AC123)</f>
        <v>0.23333333333333334</v>
      </c>
      <c r="AH123" s="21">
        <f>'Generalized Data'!E162</f>
        <v>2.2516985920000001E-3</v>
      </c>
      <c r="AI123" s="134">
        <f>AI121*3</f>
        <v>3.3775478880000002E-3</v>
      </c>
      <c r="AJ123" s="98"/>
      <c r="AK123" s="133">
        <f>AF123*AI123*1000</f>
        <v>0.78809450720000007</v>
      </c>
    </row>
    <row r="124" spans="1:37" x14ac:dyDescent="0.2">
      <c r="B124" t="str">
        <f>CONCATENATE($R$110,"4")</f>
        <v>NRbldg_N-BuildLight4</v>
      </c>
      <c r="C124" t="s">
        <v>32</v>
      </c>
      <c r="D124" t="str">
        <f>$W$110</f>
        <v>NR_BuildLight</v>
      </c>
      <c r="E124">
        <f t="shared" si="31"/>
        <v>2011</v>
      </c>
      <c r="F124">
        <v>1</v>
      </c>
      <c r="G124" s="18">
        <f>'Generalized Data'!$C$5</f>
        <v>1</v>
      </c>
      <c r="H124" s="4">
        <f>'Generalized Data'!C163</f>
        <v>0</v>
      </c>
      <c r="I124" s="3">
        <f>AK124</f>
        <v>1.5761890144000001</v>
      </c>
      <c r="J124" s="3">
        <f>'Generalized Data'!G163</f>
        <v>1.1918951132300357</v>
      </c>
      <c r="K124" s="2">
        <f>'Generalized Data'!M163</f>
        <v>8</v>
      </c>
      <c r="L124" s="91">
        <v>2011</v>
      </c>
      <c r="Q124" t="str">
        <f>'Generalized Data'!B163</f>
        <v>Fluorescent lighting system</v>
      </c>
      <c r="R124" s="30" t="s">
        <v>443</v>
      </c>
      <c r="S124" t="s">
        <v>446</v>
      </c>
      <c r="T124" s="30" t="s">
        <v>498</v>
      </c>
      <c r="U124" s="30" t="s">
        <v>508</v>
      </c>
      <c r="AB124">
        <v>50</v>
      </c>
      <c r="AC124">
        <v>30</v>
      </c>
      <c r="AD124">
        <v>350</v>
      </c>
      <c r="AF124" s="88">
        <f>AD124/(AB124*AC124)</f>
        <v>0.23333333333333334</v>
      </c>
      <c r="AH124" s="21">
        <f>'Generalized Data'!E163</f>
        <v>2.5331609159999998E-3</v>
      </c>
      <c r="AI124" s="134">
        <f>AI121*6</f>
        <v>6.7550957760000004E-3</v>
      </c>
      <c r="AJ124" s="98"/>
      <c r="AK124" s="133">
        <f>AF124*AI124*1000</f>
        <v>1.5761890144000001</v>
      </c>
    </row>
    <row r="125" spans="1:37" x14ac:dyDescent="0.2">
      <c r="B125" t="str">
        <f>CONCATENATE(R111,"1")</f>
        <v>NRbldg_N-BuildTech1</v>
      </c>
      <c r="C125" t="s">
        <v>32</v>
      </c>
      <c r="D125" t="str">
        <f>W111</f>
        <v>NR_BuildTech</v>
      </c>
      <c r="E125">
        <f t="shared" si="31"/>
        <v>2011</v>
      </c>
      <c r="F125">
        <v>1</v>
      </c>
      <c r="G125" s="18">
        <f>'Generalized Data'!$C$5</f>
        <v>1</v>
      </c>
      <c r="H125" s="4">
        <v>0</v>
      </c>
      <c r="I125" s="4">
        <v>0</v>
      </c>
      <c r="J125" s="3">
        <v>1</v>
      </c>
      <c r="K125" s="2">
        <f>'Generalized Data'!M164</f>
        <v>15</v>
      </c>
      <c r="L125" s="91">
        <v>2011</v>
      </c>
      <c r="R125" s="30" t="s">
        <v>443</v>
      </c>
      <c r="S125" s="30" t="s">
        <v>497</v>
      </c>
      <c r="T125" s="30" t="s">
        <v>499</v>
      </c>
      <c r="U125" s="30" t="s">
        <v>500</v>
      </c>
    </row>
    <row r="126" spans="1:37" x14ac:dyDescent="0.2">
      <c r="B126" t="str">
        <f>CONCATENATE(R112,"1")</f>
        <v>NRbldg_N-ICTM1</v>
      </c>
      <c r="C126" t="s">
        <v>32</v>
      </c>
      <c r="D126" t="str">
        <f>W112</f>
        <v>NR_ICTM</v>
      </c>
      <c r="E126">
        <f t="shared" si="31"/>
        <v>2011</v>
      </c>
      <c r="F126" s="124">
        <v>1</v>
      </c>
      <c r="G126" s="125">
        <f>'Generalized Data'!$C$5</f>
        <v>1</v>
      </c>
      <c r="H126" s="126">
        <f>'Generalized Data'!C164</f>
        <v>8.4438697199999985E-3</v>
      </c>
      <c r="I126" s="126">
        <f>'Generalized Data'!E164</f>
        <v>0.8443869719999999</v>
      </c>
      <c r="J126" s="126">
        <f>'Generalized Data'!G164</f>
        <v>1</v>
      </c>
      <c r="K126" s="127">
        <f>'Generalized Data'!M164</f>
        <v>15</v>
      </c>
      <c r="L126" s="91">
        <v>2011</v>
      </c>
      <c r="R126" t="s">
        <v>446</v>
      </c>
      <c r="S126" s="30" t="str">
        <f t="shared" ref="S126:S131" si="32">R126</f>
        <v>000units-y</v>
      </c>
      <c r="T126" s="30" t="s">
        <v>499</v>
      </c>
      <c r="U126" s="30" t="s">
        <v>507</v>
      </c>
    </row>
    <row r="127" spans="1:37" x14ac:dyDescent="0.2">
      <c r="B127" t="str">
        <f>CONCATENATE($R$113,"1")</f>
        <v>NRbldg_N-Refrig1</v>
      </c>
      <c r="C127" t="s">
        <v>32</v>
      </c>
      <c r="D127" t="str">
        <f>$W$113</f>
        <v>NR_Refrig</v>
      </c>
      <c r="E127">
        <f t="shared" si="31"/>
        <v>2011</v>
      </c>
      <c r="F127">
        <v>1</v>
      </c>
      <c r="G127" s="18">
        <f>'Generalized Data'!$C$5</f>
        <v>1</v>
      </c>
      <c r="H127" s="4">
        <f>'Generalized Data'!C166</f>
        <v>1.7157943271039998E-2</v>
      </c>
      <c r="I127" s="4">
        <f>'Generalized Data'!E166</f>
        <v>0.42894858177599998</v>
      </c>
      <c r="J127" s="3">
        <f>'Generalized Data'!G166</f>
        <v>1.54</v>
      </c>
      <c r="K127" s="2">
        <f>'Generalized Data'!M166</f>
        <v>15</v>
      </c>
      <c r="L127" s="91">
        <v>2011</v>
      </c>
      <c r="R127" t="s">
        <v>446</v>
      </c>
      <c r="S127" t="str">
        <f t="shared" si="32"/>
        <v>000units-y</v>
      </c>
      <c r="T127" s="30" t="s">
        <v>495</v>
      </c>
    </row>
    <row r="128" spans="1:37" x14ac:dyDescent="0.2">
      <c r="B128" t="str">
        <f>CONCATENATE($R$113,"2")</f>
        <v>NRbldg_N-Refrig2</v>
      </c>
      <c r="C128" t="s">
        <v>32</v>
      </c>
      <c r="D128" t="str">
        <f>$W$113</f>
        <v>NR_Refrig</v>
      </c>
      <c r="E128">
        <f t="shared" si="31"/>
        <v>2011</v>
      </c>
      <c r="F128">
        <v>1</v>
      </c>
      <c r="G128" s="18">
        <f>'Generalized Data'!$C$5</f>
        <v>1</v>
      </c>
      <c r="H128" s="4">
        <f>'Generalized Data'!C167</f>
        <v>1.3082368819519999E-2</v>
      </c>
      <c r="I128" s="4">
        <f>'Generalized Data'!E167</f>
        <v>0.65411844097599992</v>
      </c>
      <c r="J128" s="3">
        <f>'Generalized Data'!G167</f>
        <v>2.86</v>
      </c>
      <c r="K128" s="2">
        <f>'Generalized Data'!M167</f>
        <v>15</v>
      </c>
      <c r="L128" s="91">
        <v>2011</v>
      </c>
      <c r="R128" t="s">
        <v>446</v>
      </c>
      <c r="S128" t="str">
        <f t="shared" si="32"/>
        <v>000units-y</v>
      </c>
      <c r="T128" s="30" t="s">
        <v>495</v>
      </c>
    </row>
    <row r="129" spans="2:21" x14ac:dyDescent="0.2">
      <c r="B129" t="str">
        <f>CONCATENATE($R$113,"3")</f>
        <v>NRbldg_N-Refrig3</v>
      </c>
      <c r="C129" t="s">
        <v>32</v>
      </c>
      <c r="D129" t="str">
        <f>$W$113</f>
        <v>NR_Refrig</v>
      </c>
      <c r="E129">
        <f t="shared" si="31"/>
        <v>2011</v>
      </c>
      <c r="F129">
        <v>1</v>
      </c>
      <c r="G129" s="18">
        <f>'Generalized Data'!$C$5</f>
        <v>1</v>
      </c>
      <c r="H129" s="4">
        <f>'Generalized Data'!C168</f>
        <v>8.5789716355199989E-3</v>
      </c>
      <c r="I129" s="4">
        <f>'Generalized Data'!E168</f>
        <v>0.42894858177599998</v>
      </c>
      <c r="J129" s="3">
        <f>'Generalized Data'!G168</f>
        <v>1.62</v>
      </c>
      <c r="K129" s="2">
        <f>'Generalized Data'!M168</f>
        <v>15</v>
      </c>
      <c r="L129" s="91">
        <v>2011</v>
      </c>
      <c r="R129" t="s">
        <v>446</v>
      </c>
      <c r="S129" t="str">
        <f t="shared" si="32"/>
        <v>000units-y</v>
      </c>
      <c r="T129" s="30" t="s">
        <v>495</v>
      </c>
    </row>
    <row r="130" spans="2:21" x14ac:dyDescent="0.2">
      <c r="B130" t="str">
        <f>CONCATENATE($R$113,"4")</f>
        <v>NRbldg_N-Refrig4</v>
      </c>
      <c r="C130" t="s">
        <v>32</v>
      </c>
      <c r="D130" t="str">
        <f>$W$113</f>
        <v>NR_Refrig</v>
      </c>
      <c r="E130">
        <f t="shared" si="31"/>
        <v>2011</v>
      </c>
      <c r="F130">
        <v>1</v>
      </c>
      <c r="G130" s="18">
        <f>'Generalized Data'!$C$5</f>
        <v>1</v>
      </c>
      <c r="H130" s="4">
        <f>'Generalized Data'!C169</f>
        <v>5.9670012688E-3</v>
      </c>
      <c r="I130" s="4">
        <f>'Generalized Data'!E169</f>
        <v>0.59670012687999996</v>
      </c>
      <c r="J130" s="3">
        <f>'Generalized Data'!G169</f>
        <v>3.01</v>
      </c>
      <c r="K130" s="2">
        <f>'Generalized Data'!M169</f>
        <v>15</v>
      </c>
      <c r="L130" s="91">
        <v>2011</v>
      </c>
      <c r="R130" t="s">
        <v>446</v>
      </c>
      <c r="S130" t="str">
        <f t="shared" si="32"/>
        <v>000units-y</v>
      </c>
      <c r="T130" s="30" t="s">
        <v>495</v>
      </c>
    </row>
    <row r="131" spans="2:21" x14ac:dyDescent="0.2">
      <c r="B131" t="str">
        <f>R114</f>
        <v>NRbldg_N-StLight</v>
      </c>
      <c r="C131" t="s">
        <v>32</v>
      </c>
      <c r="D131" t="str">
        <f>W114</f>
        <v>NR_StLight</v>
      </c>
      <c r="E131">
        <f>L131</f>
        <v>2011</v>
      </c>
      <c r="F131">
        <v>1</v>
      </c>
      <c r="G131" s="18">
        <f>'Generalized Data'!$C$5</f>
        <v>1</v>
      </c>
      <c r="H131" s="4">
        <f>'Generalized Data'!C165</f>
        <v>1.1258492960000001E-3</v>
      </c>
      <c r="I131" s="4">
        <f>'Generalized Data'!E165</f>
        <v>0.11258492959999999</v>
      </c>
      <c r="J131" s="3">
        <f>'Generalized Data'!G165</f>
        <v>1</v>
      </c>
      <c r="K131" s="109">
        <f>K123</f>
        <v>5</v>
      </c>
      <c r="L131" s="91">
        <v>2011</v>
      </c>
      <c r="R131" t="s">
        <v>446</v>
      </c>
      <c r="S131" t="str">
        <f t="shared" si="32"/>
        <v>000units-y</v>
      </c>
      <c r="T131" s="30" t="s">
        <v>495</v>
      </c>
    </row>
    <row r="132" spans="2:21" x14ac:dyDescent="0.2">
      <c r="B132" t="str">
        <f>R115</f>
        <v>NRbldg_N-Vent</v>
      </c>
      <c r="C132" t="s">
        <v>32</v>
      </c>
      <c r="D132" t="str">
        <f>W115</f>
        <v>NR_Vent</v>
      </c>
      <c r="E132">
        <f>L132</f>
        <v>2011</v>
      </c>
      <c r="F132">
        <v>1</v>
      </c>
      <c r="G132" s="18">
        <f>'Generalized Data'!$C$5</f>
        <v>1</v>
      </c>
      <c r="H132" s="4">
        <v>0</v>
      </c>
      <c r="I132" s="4">
        <v>0</v>
      </c>
      <c r="J132" s="3">
        <v>1</v>
      </c>
      <c r="K132" s="109">
        <f>K129</f>
        <v>15</v>
      </c>
      <c r="L132" s="91">
        <v>2011</v>
      </c>
      <c r="R132" s="30" t="s">
        <v>443</v>
      </c>
      <c r="S132" s="30" t="s">
        <v>497</v>
      </c>
      <c r="T132" s="30" t="s">
        <v>499</v>
      </c>
      <c r="U132" s="30" t="s">
        <v>500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CF85"/>
  <sheetViews>
    <sheetView topLeftCell="A16" zoomScale="60" zoomScaleNormal="60" workbookViewId="0">
      <selection activeCell="D18" sqref="D18"/>
    </sheetView>
  </sheetViews>
  <sheetFormatPr defaultRowHeight="12.75" x14ac:dyDescent="0.2"/>
  <cols>
    <col min="1" max="1" width="11.42578125" customWidth="1"/>
    <col min="2" max="2" width="20.5703125" customWidth="1"/>
    <col min="3" max="3" width="10.140625" customWidth="1"/>
    <col min="4" max="4" width="14.85546875" customWidth="1"/>
    <col min="10" max="10" width="12" customWidth="1"/>
    <col min="11" max="12" width="10.28515625" customWidth="1"/>
    <col min="20" max="20" width="9.140625" customWidth="1"/>
  </cols>
  <sheetData>
    <row r="1" spans="1:84" x14ac:dyDescent="0.2">
      <c r="A1" s="6" t="s">
        <v>483</v>
      </c>
      <c r="G1" t="s">
        <v>230</v>
      </c>
      <c r="R1" t="s">
        <v>464</v>
      </c>
    </row>
    <row r="2" spans="1:84" x14ac:dyDescent="0.2">
      <c r="A2" s="110" t="s">
        <v>488</v>
      </c>
      <c r="B2" s="98"/>
      <c r="C2" s="98"/>
      <c r="D2" s="98"/>
      <c r="E2" s="98"/>
    </row>
    <row r="4" spans="1:84" x14ac:dyDescent="0.2">
      <c r="B4" s="1"/>
      <c r="F4" s="1" t="s">
        <v>385</v>
      </c>
      <c r="H4" s="2"/>
      <c r="I4" s="5"/>
      <c r="J4" s="4"/>
      <c r="K4" s="3"/>
      <c r="L4" s="3"/>
      <c r="M4" s="3"/>
    </row>
    <row r="5" spans="1:84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CONCATENATE("CEFF~",X7)</f>
        <v>CEFF~NR_ES-HO-WatHeat</v>
      </c>
      <c r="O5" s="10" t="s">
        <v>27</v>
      </c>
      <c r="P5" s="10" t="s">
        <v>26</v>
      </c>
      <c r="Q5" s="10" t="s">
        <v>29</v>
      </c>
      <c r="R5" s="9" t="str">
        <f>CONCATENATE("AFC~",X6)</f>
        <v>AFC~NR_ES-HO-SpHeat</v>
      </c>
      <c r="S5" s="9" t="str">
        <f>CONCATENATE("AFC~",X8)</f>
        <v>AFC~NR_ES-HO-SpCool</v>
      </c>
      <c r="T5" s="9" t="str">
        <f>CONCATENATE("Share-O~LO~",X6)</f>
        <v>Share-O~LO~NR_ES-HO-SpHeat</v>
      </c>
      <c r="U5" s="12" t="s">
        <v>386</v>
      </c>
      <c r="V5" s="13" t="s">
        <v>387</v>
      </c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</row>
    <row r="6" spans="1:84" x14ac:dyDescent="0.2">
      <c r="B6" t="str">
        <f>"C_ES-SH-HO_"&amp;RIGHT(C6,3)&amp;"01"</f>
        <v>C_ES-SH-HO_ELC01</v>
      </c>
      <c r="C6" t="s">
        <v>32</v>
      </c>
      <c r="D6" t="str">
        <f>$X$6</f>
        <v>NR_ES-HO-SpHeat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U6" s="87"/>
      <c r="V6" s="87"/>
      <c r="X6" t="s">
        <v>412</v>
      </c>
    </row>
    <row r="7" spans="1:84" x14ac:dyDescent="0.2">
      <c r="B7" t="str">
        <f>"C_ES-SH-HO_"&amp;RIGHT(C7,3)&amp;"02"</f>
        <v>C_ES-SH-HO_ELC02</v>
      </c>
      <c r="C7" t="s">
        <v>32</v>
      </c>
      <c r="D7" t="str">
        <f>$X$6</f>
        <v>NR_ES-HO-SpHeat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U7" s="87"/>
      <c r="V7" s="87"/>
      <c r="X7" t="s">
        <v>413</v>
      </c>
    </row>
    <row r="8" spans="1:84" x14ac:dyDescent="0.2">
      <c r="B8" t="str">
        <f>"C_ES-SH-HO_"&amp;RIGHT(C8,3)&amp;"03"</f>
        <v>C_ES-SH-HO_ELC03</v>
      </c>
      <c r="C8" t="s">
        <v>32</v>
      </c>
      <c r="D8" t="str">
        <f>$X$6</f>
        <v>NR_ES-HO-SpHeat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P8" s="2">
        <f>'Generalized Data'!M$111</f>
        <v>20</v>
      </c>
      <c r="Q8" s="94">
        <v>2011</v>
      </c>
      <c r="R8" s="80">
        <v>0.15</v>
      </c>
      <c r="S8" s="80"/>
      <c r="T8" s="80">
        <v>0.6</v>
      </c>
      <c r="U8" s="23">
        <f t="shared" ref="U8:U13" si="0">IF(I8="","",I8)</f>
        <v>14.4</v>
      </c>
      <c r="V8" s="23">
        <f t="shared" ref="V8:V13" si="1">IF(K8="","",K8)</f>
        <v>720</v>
      </c>
      <c r="X8" t="s">
        <v>414</v>
      </c>
    </row>
    <row r="9" spans="1:84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R9" s="79"/>
      <c r="S9" s="79"/>
      <c r="T9" s="79"/>
      <c r="U9" s="23" t="str">
        <f t="shared" si="0"/>
        <v/>
      </c>
      <c r="V9" s="23" t="str">
        <f t="shared" si="1"/>
        <v/>
      </c>
    </row>
    <row r="10" spans="1:84" x14ac:dyDescent="0.2">
      <c r="B10" t="str">
        <f>"C_ES-SH-HO_"&amp;RIGHT(C10,3)&amp;"04"</f>
        <v>C_ES-SH-HO_ELC04</v>
      </c>
      <c r="C10" t="s">
        <v>32</v>
      </c>
      <c r="D10" t="str">
        <f>$X$6</f>
        <v>NR_ES-HO-SpHeat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 s="80">
        <v>0.15</v>
      </c>
      <c r="S10" s="80">
        <v>999</v>
      </c>
      <c r="T10" s="80">
        <v>0.6</v>
      </c>
      <c r="U10" s="23">
        <f t="shared" si="0"/>
        <v>16.2</v>
      </c>
      <c r="V10" s="23">
        <f t="shared" si="1"/>
        <v>810</v>
      </c>
    </row>
    <row r="11" spans="1:84" x14ac:dyDescent="0.2">
      <c r="D11" t="str">
        <f>$X$8</f>
        <v>NR_ES-HO-SpCool</v>
      </c>
      <c r="H11" s="18"/>
      <c r="I11" s="4"/>
      <c r="J11" s="4"/>
      <c r="K11" s="4"/>
      <c r="L11" s="4"/>
      <c r="M11" s="3"/>
      <c r="N11" s="3"/>
      <c r="P11" s="2"/>
      <c r="Q11" s="2"/>
      <c r="R11" s="79"/>
      <c r="S11" s="79"/>
      <c r="T11" s="79"/>
      <c r="U11" s="23" t="str">
        <f t="shared" si="0"/>
        <v/>
      </c>
      <c r="V11" s="23" t="str">
        <f t="shared" si="1"/>
        <v/>
      </c>
    </row>
    <row r="12" spans="1:84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R12" s="79"/>
      <c r="S12" s="79"/>
      <c r="T12" s="79"/>
      <c r="U12" s="23" t="str">
        <f t="shared" si="0"/>
        <v/>
      </c>
      <c r="V12" s="23" t="str">
        <f t="shared" si="1"/>
        <v/>
      </c>
    </row>
    <row r="13" spans="1:84" x14ac:dyDescent="0.2">
      <c r="B13" t="str">
        <f>"C_ES-SH-HO_"&amp;RIGHT(C13,3)&amp;"05"</f>
        <v>C_ES-SH-HO_ELC05</v>
      </c>
      <c r="C13" t="s">
        <v>32</v>
      </c>
      <c r="D13" t="str">
        <f>$X$6</f>
        <v>NR_ES-HO-SpHeat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 s="80">
        <v>0.15</v>
      </c>
      <c r="S13" s="80">
        <v>999</v>
      </c>
      <c r="T13" s="80">
        <v>0.6</v>
      </c>
      <c r="U13" s="23">
        <f t="shared" si="0"/>
        <v>17.820000000000004</v>
      </c>
      <c r="V13" s="23">
        <f t="shared" si="1"/>
        <v>891.00000000000011</v>
      </c>
    </row>
    <row r="14" spans="1:84" x14ac:dyDescent="0.2">
      <c r="D14" t="str">
        <f>$X$8</f>
        <v>NR_ES-HO-SpCool</v>
      </c>
      <c r="H14" s="18"/>
      <c r="I14" s="4"/>
      <c r="J14" s="4"/>
      <c r="K14" s="4"/>
      <c r="L14" s="4"/>
      <c r="M14" s="3"/>
      <c r="N14" s="3"/>
      <c r="P14" s="2"/>
      <c r="Q14" s="2"/>
      <c r="R14" s="79"/>
      <c r="S14" s="79"/>
      <c r="T14" s="79"/>
      <c r="U14" s="23" t="str">
        <f t="shared" ref="U14:U23" si="2">IF(I14="","",I14)</f>
        <v/>
      </c>
      <c r="V14" s="23" t="str">
        <f t="shared" ref="V14:V23" si="3">IF(K14="","",K14)</f>
        <v/>
      </c>
    </row>
    <row r="15" spans="1:84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R15" s="79"/>
      <c r="S15" s="79"/>
      <c r="T15" s="79"/>
      <c r="U15" s="23" t="str">
        <f t="shared" si="2"/>
        <v/>
      </c>
      <c r="V15" s="23" t="str">
        <f t="shared" si="3"/>
        <v/>
      </c>
    </row>
    <row r="16" spans="1:84" x14ac:dyDescent="0.2">
      <c r="B16" t="str">
        <f>"C_ES-SH-HO_"&amp;RIGHT(C16,3)&amp;"06"</f>
        <v>C_ES-SH-HO_ELC06</v>
      </c>
      <c r="C16" t="s">
        <v>32</v>
      </c>
      <c r="D16" t="str">
        <f>$X$6</f>
        <v>NR_ES-HO-SpHeat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 s="22">
        <v>0.15</v>
      </c>
      <c r="S16" s="22">
        <v>999</v>
      </c>
      <c r="T16" s="22">
        <v>0.6</v>
      </c>
      <c r="U16" s="23">
        <f t="shared" si="2"/>
        <v>25.2</v>
      </c>
      <c r="V16" s="23">
        <f t="shared" si="3"/>
        <v>1260</v>
      </c>
    </row>
    <row r="17" spans="2:22" x14ac:dyDescent="0.2">
      <c r="D17" t="str">
        <f>$X$8</f>
        <v>NR_ES-HO-SpCool</v>
      </c>
      <c r="H17" s="18"/>
      <c r="I17" s="4"/>
      <c r="J17" s="4"/>
      <c r="K17" s="4"/>
      <c r="L17" s="4"/>
      <c r="M17" s="3"/>
      <c r="N17" s="3"/>
      <c r="P17" s="2"/>
      <c r="Q17" s="2"/>
      <c r="R17" s="22"/>
      <c r="S17" s="22"/>
      <c r="T17" s="22"/>
      <c r="U17" s="23" t="str">
        <f t="shared" si="2"/>
        <v/>
      </c>
      <c r="V17" s="23" t="str">
        <f t="shared" si="3"/>
        <v/>
      </c>
    </row>
    <row r="18" spans="2:22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U18" s="23" t="str">
        <f t="shared" si="2"/>
        <v/>
      </c>
      <c r="V18" s="23" t="str">
        <f t="shared" si="3"/>
        <v/>
      </c>
    </row>
    <row r="19" spans="2:22" x14ac:dyDescent="0.2">
      <c r="B19" t="str">
        <f>"C_ES-SH-HO_"&amp;RIGHT(C19,3)&amp;"07"</f>
        <v>C_ES-SH-HO_ELC07</v>
      </c>
      <c r="C19" t="s">
        <v>32</v>
      </c>
      <c r="D19" t="str">
        <f>$X$6</f>
        <v>NR_ES-HO-SpHeat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 s="22">
        <v>0.15</v>
      </c>
      <c r="S19" s="22">
        <v>999</v>
      </c>
      <c r="T19" s="22">
        <v>0.6</v>
      </c>
      <c r="U19" s="23">
        <f t="shared" si="2"/>
        <v>37.800000000000004</v>
      </c>
      <c r="V19" s="23">
        <f t="shared" si="3"/>
        <v>1890</v>
      </c>
    </row>
    <row r="20" spans="2:22" x14ac:dyDescent="0.2">
      <c r="D20" t="str">
        <f>$X$8</f>
        <v>NR_ES-HO-SpCool</v>
      </c>
      <c r="H20" s="18"/>
      <c r="I20" s="4"/>
      <c r="J20" s="4"/>
      <c r="K20" s="4"/>
      <c r="L20" s="4"/>
      <c r="M20" s="3"/>
      <c r="N20" s="3"/>
      <c r="P20" s="2"/>
      <c r="Q20" s="2"/>
      <c r="U20" s="23" t="str">
        <f t="shared" si="2"/>
        <v/>
      </c>
      <c r="V20" s="23" t="str">
        <f t="shared" si="3"/>
        <v/>
      </c>
    </row>
    <row r="21" spans="2:22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U21" s="23" t="str">
        <f t="shared" si="2"/>
        <v/>
      </c>
      <c r="V21" s="23" t="str">
        <f t="shared" si="3"/>
        <v/>
      </c>
    </row>
    <row r="22" spans="2:22" x14ac:dyDescent="0.2">
      <c r="B22" t="str">
        <f>"C_ES-SH-HO_"&amp;RIGHT(C22,3)&amp;"08"</f>
        <v>C_ES-SH-HO_ELC08</v>
      </c>
      <c r="C22" t="s">
        <v>32</v>
      </c>
      <c r="D22" t="str">
        <f>$X$6</f>
        <v>NR_ES-HO-SpHeat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 s="22">
        <v>0.15</v>
      </c>
      <c r="S22" s="22">
        <v>999</v>
      </c>
      <c r="T22" s="22">
        <v>0.6</v>
      </c>
      <c r="U22" s="23">
        <f t="shared" si="2"/>
        <v>43.2</v>
      </c>
      <c r="V22" s="23">
        <f t="shared" si="3"/>
        <v>1080</v>
      </c>
    </row>
    <row r="23" spans="2:22" x14ac:dyDescent="0.2">
      <c r="D23" t="str">
        <f>$X$8</f>
        <v>NR_ES-HO-SpCool</v>
      </c>
      <c r="H23" s="18"/>
      <c r="I23" s="4"/>
      <c r="K23" s="4"/>
      <c r="M23" s="3"/>
      <c r="N23" s="3"/>
      <c r="P23" s="2"/>
      <c r="Q23" s="2"/>
      <c r="U23" s="23" t="str">
        <f t="shared" si="2"/>
        <v/>
      </c>
      <c r="V23" s="23" t="str">
        <f t="shared" si="3"/>
        <v/>
      </c>
    </row>
    <row r="24" spans="2:22" x14ac:dyDescent="0.2">
      <c r="E24" t="s">
        <v>57</v>
      </c>
      <c r="H24" s="18"/>
      <c r="I24" s="4"/>
      <c r="K24" s="4"/>
      <c r="M24" s="3"/>
      <c r="N24" s="3"/>
      <c r="P24" s="2"/>
      <c r="Q24" s="2"/>
      <c r="U24" s="23"/>
      <c r="V24" s="23"/>
    </row>
    <row r="25" spans="2:22" x14ac:dyDescent="0.2">
      <c r="B25" t="str">
        <f>"C_ES-SH-HO_"&amp;RIGHT(C25,3)&amp;"01"</f>
        <v>C_ES-SH-HO_GAS01</v>
      </c>
      <c r="C25" t="s">
        <v>35</v>
      </c>
      <c r="D25" t="str">
        <f>$X$6</f>
        <v>NR_ES-HO-SpHeat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U25" s="23"/>
      <c r="V25" s="23"/>
    </row>
    <row r="26" spans="2:22" x14ac:dyDescent="0.2">
      <c r="B26" t="str">
        <f>"C_ES-SH-HO_"&amp;RIGHT(C26,3)&amp;"02"</f>
        <v>C_ES-SH-HO_GAS02</v>
      </c>
      <c r="C26" t="s">
        <v>35</v>
      </c>
      <c r="D26" t="str">
        <f>$X$6</f>
        <v>NR_ES-HO-SpHeat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U26" s="23"/>
      <c r="V26" s="23"/>
    </row>
    <row r="27" spans="2:22" x14ac:dyDescent="0.2">
      <c r="B27" t="str">
        <f>"C_ES-SH-HO_"&amp;RIGHT(C27,3)&amp;"03"</f>
        <v>C_ES-SH-HO_GAS03</v>
      </c>
      <c r="C27" t="s">
        <v>35</v>
      </c>
      <c r="D27" t="str">
        <f>$X$6</f>
        <v>NR_ES-HO-SpHeat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>
        <f>'Generalized Data'!H$119</f>
        <v>0.66300000000000003</v>
      </c>
      <c r="P27" s="2">
        <f>'Generalized Data'!M$119</f>
        <v>20</v>
      </c>
      <c r="Q27" s="94">
        <v>2011</v>
      </c>
      <c r="U27" s="23"/>
      <c r="V27" s="23"/>
    </row>
    <row r="28" spans="2:22" x14ac:dyDescent="0.2">
      <c r="D28" t="str">
        <f>$X$7</f>
        <v>NR_ES-HO-WatHeat</v>
      </c>
      <c r="H28" s="18"/>
      <c r="I28" s="4"/>
      <c r="K28" s="4"/>
      <c r="M28" s="3"/>
      <c r="N28" s="3"/>
      <c r="P28" s="2"/>
      <c r="Q28" s="2"/>
      <c r="U28" s="23"/>
      <c r="V28" s="23"/>
    </row>
    <row r="29" spans="2:22" x14ac:dyDescent="0.2">
      <c r="B29" t="str">
        <f>"C_ES-SH-HO_"&amp;RIGHT(C29,3)&amp;"04"</f>
        <v>C_ES-SH-HO_GAS04</v>
      </c>
      <c r="C29" t="s">
        <v>35</v>
      </c>
      <c r="D29" t="str">
        <f>$X$6</f>
        <v>NR_ES-HO-SpHeat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U29" s="23"/>
      <c r="V29" s="23"/>
    </row>
    <row r="30" spans="2:22" x14ac:dyDescent="0.2">
      <c r="B30" t="str">
        <f>"C_ES-SH-HO_"&amp;RIGHT(C30,3)&amp;"05"</f>
        <v>C_ES-SH-HO_GAS05</v>
      </c>
      <c r="C30" t="s">
        <v>35</v>
      </c>
      <c r="D30" t="str">
        <f>$X$6</f>
        <v>NR_ES-HO-SpHeat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Data'!H121</f>
        <v>0.56074766355140182</v>
      </c>
      <c r="P30" s="2">
        <f>'Generalized Data'!M$121</f>
        <v>20</v>
      </c>
      <c r="Q30" s="94">
        <v>2011</v>
      </c>
      <c r="U30" s="23"/>
      <c r="V30" s="23"/>
    </row>
    <row r="31" spans="2:22" x14ac:dyDescent="0.2">
      <c r="D31" t="str">
        <f>$X$7</f>
        <v>NR_ES-HO-WatHeat</v>
      </c>
      <c r="H31" s="18"/>
      <c r="I31" s="4"/>
      <c r="K31" s="4"/>
      <c r="M31" s="3"/>
      <c r="N31" s="3"/>
      <c r="P31" s="2"/>
      <c r="Q31" s="2"/>
      <c r="U31" s="23" t="str">
        <f>IF(I31="","",I31)</f>
        <v/>
      </c>
      <c r="V31" s="23" t="str">
        <f>IF(K31="","",K31)</f>
        <v/>
      </c>
    </row>
    <row r="32" spans="2:22" x14ac:dyDescent="0.2">
      <c r="B32" t="str">
        <f>"C_ES-SH-HO_"&amp;RIGHT(C32,3)&amp;"06"</f>
        <v>C_ES-SH-HO_GAS06</v>
      </c>
      <c r="C32" t="s">
        <v>35</v>
      </c>
      <c r="D32" t="str">
        <f>$X$6</f>
        <v>NR_ES-HO-SpHeat</v>
      </c>
      <c r="F32">
        <f>Q32</f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22">
        <v>0.15</v>
      </c>
      <c r="S32" s="22">
        <v>999</v>
      </c>
      <c r="T32" s="22">
        <v>0.6</v>
      </c>
      <c r="U32" s="23">
        <f>IF(I32="","",I32)</f>
        <v>44.64</v>
      </c>
      <c r="V32" s="23">
        <f>IF(K32="","",K32)</f>
        <v>1116</v>
      </c>
    </row>
    <row r="33" spans="2:22" x14ac:dyDescent="0.2">
      <c r="D33" t="str">
        <f>$X$8</f>
        <v>NR_ES-HO-SpCool</v>
      </c>
      <c r="H33" s="18"/>
      <c r="I33" s="4"/>
      <c r="J33" s="4"/>
      <c r="K33" s="4"/>
      <c r="L33" s="4"/>
      <c r="M33" s="3"/>
      <c r="N33" s="3"/>
      <c r="P33" s="2"/>
      <c r="Q33" s="2"/>
      <c r="U33" s="23" t="str">
        <f>IF(I33="","",I33)</f>
        <v/>
      </c>
      <c r="V33" s="23" t="str">
        <f>IF(K33="","",K33)</f>
        <v/>
      </c>
    </row>
    <row r="34" spans="2:22" x14ac:dyDescent="0.2">
      <c r="B34" t="str">
        <f>"C_ES-SH-HO_"&amp;RIGHT(C34,3)&amp;"07"</f>
        <v>C_ES-SH-HO_GAS07</v>
      </c>
      <c r="C34" t="s">
        <v>35</v>
      </c>
      <c r="D34" t="str">
        <f>$X$6</f>
        <v>NR_ES-HO-SpHeat</v>
      </c>
      <c r="F34">
        <f>Q34</f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0.15</v>
      </c>
      <c r="S34" s="22">
        <v>999</v>
      </c>
      <c r="T34" s="22">
        <v>0.6</v>
      </c>
      <c r="U34" s="23">
        <f>IF(I34="","",I34)</f>
        <v>55.440000000000005</v>
      </c>
      <c r="V34" s="23">
        <f>IF(K34="","",K34)</f>
        <v>1386</v>
      </c>
    </row>
    <row r="35" spans="2:22" x14ac:dyDescent="0.2">
      <c r="D35" t="str">
        <f>$X$8</f>
        <v>NR_ES-HO-SpCool</v>
      </c>
      <c r="H35" s="18"/>
      <c r="I35" s="4"/>
      <c r="K35" s="4"/>
      <c r="M35" s="3"/>
      <c r="N35" s="3"/>
      <c r="P35" s="2"/>
      <c r="Q35" s="2"/>
      <c r="U35" s="23" t="str">
        <f>IF(I35="","",I35)</f>
        <v/>
      </c>
      <c r="V35" s="23" t="str">
        <f>IF(K35="","",K35)</f>
        <v/>
      </c>
    </row>
    <row r="36" spans="2:22" x14ac:dyDescent="0.2">
      <c r="B36" t="str">
        <f>"C_ES-SH-HO_"&amp;RIGHT(C36,3)&amp;"01"</f>
        <v>C_ES-SH-HO_LPG01</v>
      </c>
      <c r="C36" t="s">
        <v>65</v>
      </c>
      <c r="D36" t="str">
        <f>$X$6</f>
        <v>NR_ES-HO-SpHeat</v>
      </c>
      <c r="F36">
        <f>Q36</f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U36" s="23"/>
      <c r="V36" s="23"/>
    </row>
    <row r="37" spans="2:22" x14ac:dyDescent="0.2">
      <c r="B37" t="str">
        <f>"C_ES-SH-HO_"&amp;RIGHT(C37,3)&amp;"02"</f>
        <v>C_ES-SH-HO_LPG02</v>
      </c>
      <c r="C37" t="s">
        <v>65</v>
      </c>
      <c r="D37" t="str">
        <f>$X$6</f>
        <v>NR_ES-HO-SpHeat</v>
      </c>
      <c r="F37">
        <f>Q37</f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Data'!H125</f>
        <v>0.81743869209809261</v>
      </c>
      <c r="P37" s="2">
        <f>'Generalized Data'!M$125</f>
        <v>20</v>
      </c>
      <c r="Q37" s="94">
        <v>2011</v>
      </c>
      <c r="U37" s="23"/>
      <c r="V37" s="23"/>
    </row>
    <row r="38" spans="2:22" x14ac:dyDescent="0.2">
      <c r="D38" t="str">
        <f>$X$7</f>
        <v>NR_ES-HO-WatHeat</v>
      </c>
      <c r="H38" s="18"/>
      <c r="I38" s="4"/>
      <c r="K38" s="4"/>
      <c r="M38" s="3"/>
      <c r="N38" s="3"/>
      <c r="P38" s="2"/>
      <c r="Q38" s="2"/>
      <c r="U38" s="23" t="str">
        <f>IF(I38="","",I38)</f>
        <v/>
      </c>
      <c r="V38" s="23" t="str">
        <f>IF(K38="","",K38)</f>
        <v/>
      </c>
    </row>
    <row r="39" spans="2:22" x14ac:dyDescent="0.2">
      <c r="B39" t="str">
        <f>"C_ES-SH-HO_"&amp;RIGHT(C39,3)&amp;"03"</f>
        <v>C_ES-SH-HO_LPG03</v>
      </c>
      <c r="C39" t="s">
        <v>65</v>
      </c>
      <c r="D39" t="str">
        <f>$X$6</f>
        <v>NR_ES-HO-SpHeat</v>
      </c>
      <c r="F39">
        <f>Q39</f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v>0.15</v>
      </c>
      <c r="S39" s="78">
        <v>999</v>
      </c>
      <c r="T39" s="78">
        <v>0.6</v>
      </c>
      <c r="U39" s="23">
        <f>IF(I39="","",I39)</f>
        <v>44.64</v>
      </c>
      <c r="V39" s="23">
        <f>IF(K39="","",K39)</f>
        <v>1116</v>
      </c>
    </row>
    <row r="40" spans="2:22" x14ac:dyDescent="0.2">
      <c r="D40" t="str">
        <f>$X$8</f>
        <v>NR_ES-HO-SpCool</v>
      </c>
      <c r="H40" s="18"/>
      <c r="I40" s="4"/>
      <c r="K40" s="4"/>
      <c r="M40" s="3"/>
      <c r="N40" s="3"/>
      <c r="P40" s="2"/>
      <c r="Q40" s="2"/>
      <c r="U40" s="23"/>
      <c r="V40" s="23"/>
    </row>
    <row r="41" spans="2:22" x14ac:dyDescent="0.2">
      <c r="B41" t="str">
        <f>"C_ES-SH-HO_"&amp;RIGHT(C41,3)&amp;"01"</f>
        <v>C_ES-SH-HO_HET01</v>
      </c>
      <c r="C41" s="30" t="s">
        <v>465</v>
      </c>
      <c r="D41" t="str">
        <f>$X$6</f>
        <v>NR_ES-HO-SpHeat</v>
      </c>
      <c r="F41">
        <f>Q41</f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U41" s="23"/>
      <c r="V41" s="23"/>
    </row>
    <row r="42" spans="2:22" x14ac:dyDescent="0.2">
      <c r="D42" t="str">
        <f>$X$7</f>
        <v>NR_ES-HO-WatHeat</v>
      </c>
      <c r="H42" s="18"/>
      <c r="I42" s="4"/>
      <c r="K42" s="4"/>
      <c r="M42" s="3"/>
      <c r="N42" s="3"/>
      <c r="P42" s="2"/>
      <c r="Q42" s="2"/>
      <c r="U42" s="23"/>
      <c r="V42" s="23"/>
    </row>
    <row r="43" spans="2:22" x14ac:dyDescent="0.2">
      <c r="B43" t="str">
        <f>"C_ES-SH-HO_"&amp;RIGHT(C43,3)&amp;"01"</f>
        <v>C_ES-SH-HO_OIL01</v>
      </c>
      <c r="C43" t="s">
        <v>62</v>
      </c>
      <c r="D43" t="str">
        <f>$X$6</f>
        <v>NR_ES-HO-SpHeat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  <c r="U43" s="23"/>
      <c r="V43" s="23"/>
    </row>
    <row r="44" spans="2:22" x14ac:dyDescent="0.2">
      <c r="B44" t="str">
        <f>"C_ES-SH-HO_"&amp;RIGHT(C44,3)&amp;"02"</f>
        <v>C_ES-SH-HO_OIL02</v>
      </c>
      <c r="C44" t="s">
        <v>62</v>
      </c>
      <c r="D44" t="str">
        <f>$X$6</f>
        <v>NR_ES-HO-SpHeat</v>
      </c>
      <c r="F44">
        <f>Q44</f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  <c r="U44" s="23"/>
      <c r="V44" s="23"/>
    </row>
    <row r="45" spans="2:22" x14ac:dyDescent="0.2">
      <c r="D45" t="str">
        <f>$X$7</f>
        <v>NR_ES-HO-WatHeat</v>
      </c>
      <c r="H45" s="18"/>
      <c r="I45" s="4"/>
      <c r="K45" s="4"/>
      <c r="M45" s="3"/>
      <c r="N45" s="3"/>
      <c r="P45" s="2"/>
      <c r="Q45" s="2"/>
      <c r="U45" s="23"/>
      <c r="V45" s="23"/>
    </row>
    <row r="46" spans="2:22" x14ac:dyDescent="0.2">
      <c r="B46" t="str">
        <f>"C_ES-SH-HO_"&amp;RIGHT(C46,3)&amp;"03"</f>
        <v>C_ES-SH-HO_OIL03</v>
      </c>
      <c r="C46" t="s">
        <v>62</v>
      </c>
      <c r="D46" t="str">
        <f>$X$6</f>
        <v>NR_ES-HO-SpHeat</v>
      </c>
      <c r="F46">
        <f>Q46</f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Data'!H130</f>
        <v>0.38</v>
      </c>
      <c r="P46" s="2">
        <f>'Generalized Data'!M$130</f>
        <v>20</v>
      </c>
      <c r="Q46" s="94">
        <v>2011</v>
      </c>
      <c r="U46" s="23"/>
      <c r="V46" s="23"/>
    </row>
    <row r="47" spans="2:22" x14ac:dyDescent="0.2">
      <c r="D47" t="str">
        <f>$X$7</f>
        <v>NR_ES-HO-WatHeat</v>
      </c>
      <c r="H47" s="18"/>
      <c r="I47" s="4"/>
      <c r="K47" s="4"/>
      <c r="M47" s="3"/>
      <c r="N47" s="3"/>
      <c r="P47" s="2"/>
      <c r="Q47" s="2"/>
      <c r="U47" s="23"/>
      <c r="V47" s="23"/>
    </row>
    <row r="48" spans="2:22" x14ac:dyDescent="0.2">
      <c r="B48" t="str">
        <f>"C_ES-SH-HO_"&amp;RIGHT(C48,3)&amp;"09"</f>
        <v>C_ES-SH-HO_ELC09</v>
      </c>
      <c r="C48" t="s">
        <v>32</v>
      </c>
      <c r="D48" t="str">
        <f>$X$6</f>
        <v>NR_ES-HO-SpHeat</v>
      </c>
      <c r="F48">
        <f>Q48</f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Data'!H131</f>
        <v>1.0731707317073171</v>
      </c>
      <c r="P48" s="2">
        <f>'Generalized Data'!M$131</f>
        <v>20</v>
      </c>
      <c r="Q48" s="94">
        <v>2011</v>
      </c>
      <c r="U48" s="23"/>
      <c r="V48" s="23"/>
    </row>
    <row r="49" spans="1:84" x14ac:dyDescent="0.2">
      <c r="C49" t="s">
        <v>63</v>
      </c>
      <c r="D49" t="str">
        <f>$X$7</f>
        <v>NR_ES-HO-WatHeat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  <c r="U49" s="23"/>
      <c r="V49" s="23"/>
    </row>
    <row r="50" spans="1:84" x14ac:dyDescent="0.2">
      <c r="B50" t="str">
        <f>"C_ES-SH-HO_"&amp;RIGHT(C50,3)&amp;"04"</f>
        <v>C_ES-SH-HO_OIL04</v>
      </c>
      <c r="C50" t="s">
        <v>62</v>
      </c>
      <c r="D50" t="str">
        <f>$X$6</f>
        <v>NR_ES-HO-SpHeat</v>
      </c>
      <c r="F50">
        <f>Q50</f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Data'!H132</f>
        <v>0.65853658536585369</v>
      </c>
      <c r="P50" s="2">
        <f>'Generalized Data'!M$132</f>
        <v>20</v>
      </c>
      <c r="Q50" s="94">
        <v>2011</v>
      </c>
      <c r="U50" s="23"/>
      <c r="V50" s="23"/>
    </row>
    <row r="51" spans="1:84" x14ac:dyDescent="0.2">
      <c r="C51" t="s">
        <v>63</v>
      </c>
      <c r="D51" t="str">
        <f>$X$7</f>
        <v>NR_ES-HO-WatHeat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  <c r="U51" s="23"/>
      <c r="V51" s="23"/>
    </row>
    <row r="52" spans="1:84" x14ac:dyDescent="0.2">
      <c r="B52" t="str">
        <f>"C_ES-SH-HO_"&amp;RIGHT(C52,3)&amp;"08"</f>
        <v>C_ES-SH-HO_GAS08</v>
      </c>
      <c r="C52" t="s">
        <v>35</v>
      </c>
      <c r="D52" t="str">
        <f>$X$6</f>
        <v>NR_ES-HO-SpHeat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Data'!H133</f>
        <v>0.65853658536585369</v>
      </c>
      <c r="P52" s="2">
        <f>'Generalized Data'!M$133</f>
        <v>20</v>
      </c>
      <c r="Q52" s="94">
        <v>2011</v>
      </c>
      <c r="U52" s="23"/>
      <c r="V52" s="23"/>
    </row>
    <row r="53" spans="1:84" x14ac:dyDescent="0.2">
      <c r="C53" t="s">
        <v>63</v>
      </c>
      <c r="D53" t="str">
        <f>$X$7</f>
        <v>NR_ES-HO-WatHeat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  <c r="U53" s="23"/>
      <c r="V53" s="23"/>
    </row>
    <row r="54" spans="1:84" x14ac:dyDescent="0.2">
      <c r="B54" t="str">
        <f>"C_ES-SH-HO_"&amp;RIGHT(C54,3)&amp;"01"</f>
        <v>C_ES-SH-HO_BIO01</v>
      </c>
      <c r="C54" t="s">
        <v>64</v>
      </c>
      <c r="D54" t="str">
        <f>$X$6</f>
        <v>NR_ES-HO-SpHeat</v>
      </c>
      <c r="F54">
        <f>Q54</f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  <c r="U54" s="23"/>
      <c r="V54" s="23"/>
    </row>
    <row r="55" spans="1:84" x14ac:dyDescent="0.2">
      <c r="D55" t="str">
        <f>$X$7</f>
        <v>NR_ES-HO-WatHeat</v>
      </c>
      <c r="H55" s="18"/>
      <c r="I55" s="4"/>
      <c r="K55" s="4"/>
      <c r="M55" s="3"/>
      <c r="N55" s="3"/>
      <c r="P55" s="2"/>
      <c r="Q55" s="2"/>
      <c r="U55" s="23"/>
      <c r="V55" s="23"/>
    </row>
    <row r="57" spans="1:84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84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</row>
    <row r="59" spans="1:84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463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CONCATENATE("CEFF~",X7)</f>
        <v>CEFF~NR_ES-HO-WatHeat</v>
      </c>
      <c r="L59" s="9" t="str">
        <f>CONCATENATE("CEFF~",X8)</f>
        <v>CEFF~NR_ES-HO-SpCool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106"/>
      <c r="AD59" s="107"/>
      <c r="AE59" s="107"/>
      <c r="AF59" s="107"/>
      <c r="AG59" s="33"/>
      <c r="AH59" s="33"/>
      <c r="AI59" s="33"/>
      <c r="AJ59" s="33"/>
      <c r="AK59" s="33"/>
      <c r="AL59" s="33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</row>
    <row r="60" spans="1:84" x14ac:dyDescent="0.2">
      <c r="B60" t="str">
        <f>"C_ES-WH-HO_"&amp;RIGHT(C60,3)&amp;"01"</f>
        <v>C_ES-WH-HO_BIO01</v>
      </c>
      <c r="C60" t="s">
        <v>64</v>
      </c>
      <c r="D60" t="str">
        <f>$X$7</f>
        <v>NR_ES-HO-WatHeat</v>
      </c>
      <c r="E60">
        <f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</row>
    <row r="61" spans="1:84" x14ac:dyDescent="0.2">
      <c r="B61" t="str">
        <f>"C_ES-WH-HO_"&amp;RIGHT(C61,3)&amp;"01"</f>
        <v>C_ES-WH-HO_ELC01</v>
      </c>
      <c r="C61" t="s">
        <v>32</v>
      </c>
      <c r="D61" t="str">
        <f>$X$7</f>
        <v>NR_ES-HO-WatHeat</v>
      </c>
      <c r="E61">
        <f t="shared" ref="E61:E72" si="4">Q61</f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</row>
    <row r="62" spans="1:84" x14ac:dyDescent="0.2">
      <c r="B62" t="str">
        <f>"C_ES-WH-HO_"&amp;RIGHT(C62,3)&amp;"02"</f>
        <v>C_ES-WH-HO_ELC02</v>
      </c>
      <c r="C62" t="s">
        <v>32</v>
      </c>
      <c r="D62" t="str">
        <f>$X$7</f>
        <v>NR_ES-HO-WatHeat</v>
      </c>
      <c r="E62">
        <f t="shared" si="4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</row>
    <row r="63" spans="1:84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</row>
    <row r="64" spans="1:84" x14ac:dyDescent="0.2">
      <c r="B64" t="str">
        <f>"C_ES-WH-HO_"&amp;RIGHT(C64,3)&amp;"01"</f>
        <v>C_ES-WH-HO_GAS01</v>
      </c>
      <c r="C64" t="s">
        <v>35</v>
      </c>
      <c r="D64" t="str">
        <f>$X$7</f>
        <v>NR_ES-HO-WatHeat</v>
      </c>
      <c r="E64">
        <f t="shared" si="4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</row>
    <row r="65" spans="1:84" x14ac:dyDescent="0.2">
      <c r="B65" t="str">
        <f>"C_ES-WH-HO_"&amp;RIGHT(C65,3)&amp;"01"</f>
        <v>C_ES-WH-HO_GEO01</v>
      </c>
      <c r="C65" t="s">
        <v>33</v>
      </c>
      <c r="D65" t="str">
        <f>$X$7</f>
        <v>NR_ES-HO-WatHeat</v>
      </c>
      <c r="E65">
        <f t="shared" si="4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</row>
    <row r="66" spans="1:84" x14ac:dyDescent="0.2">
      <c r="B66" t="str">
        <f>"C_ES-WH-HO_"&amp;RIGHT(C66,3)&amp;"01"</f>
        <v>C_ES-WH-HO_LPG01</v>
      </c>
      <c r="C66" t="s">
        <v>65</v>
      </c>
      <c r="D66" t="str">
        <f>$X$7</f>
        <v>NR_ES-HO-WatHeat</v>
      </c>
      <c r="E66">
        <f t="shared" si="4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</row>
    <row r="67" spans="1:84" x14ac:dyDescent="0.2">
      <c r="B67" t="str">
        <f>"C_ES-WH-HO_"&amp;RIGHT(C67,3)&amp;"01"</f>
        <v>C_ES-WH-HO_OIL01</v>
      </c>
      <c r="C67" t="s">
        <v>62</v>
      </c>
      <c r="D67" t="str">
        <f>$X$7</f>
        <v>NR_ES-HO-WatHeat</v>
      </c>
      <c r="E67">
        <f t="shared" si="4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</row>
    <row r="68" spans="1:84" x14ac:dyDescent="0.2">
      <c r="B68" t="str">
        <f>"C_ES-WH-HO_"&amp;RIGHT(C68,3)&amp;"03"</f>
        <v>C_ES-WH-HO_ELC03</v>
      </c>
      <c r="C68" t="s">
        <v>32</v>
      </c>
      <c r="D68" t="str">
        <f>$X$7</f>
        <v>NR_ES-HO-WatHeat</v>
      </c>
      <c r="E68">
        <f t="shared" si="4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</row>
    <row r="69" spans="1:84" x14ac:dyDescent="0.2">
      <c r="C69" t="s">
        <v>63</v>
      </c>
      <c r="G69" s="18"/>
      <c r="H69" s="4"/>
      <c r="I69" s="4"/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</row>
    <row r="70" spans="1:84" x14ac:dyDescent="0.2">
      <c r="B70" t="str">
        <f>"C_ES-WH-HO_"&amp;RIGHT(C70,3)&amp;"02"</f>
        <v>C_ES-WH-HO_OIL02</v>
      </c>
      <c r="C70" t="s">
        <v>62</v>
      </c>
      <c r="D70" t="str">
        <f>$X$7</f>
        <v>NR_ES-HO-WatHeat</v>
      </c>
      <c r="E70">
        <f t="shared" si="4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</row>
    <row r="71" spans="1:84" x14ac:dyDescent="0.2">
      <c r="C71" t="s">
        <v>63</v>
      </c>
      <c r="G71" s="18"/>
      <c r="H71" s="4"/>
      <c r="I71" s="4"/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</row>
    <row r="72" spans="1:84" x14ac:dyDescent="0.2">
      <c r="B72" t="str">
        <f>"C_ES-WH-HO_"&amp;RIGHT(C72,3)&amp;"02"</f>
        <v>C_ES-WH-HO_GAS02</v>
      </c>
      <c r="C72" t="s">
        <v>35</v>
      </c>
      <c r="D72" t="str">
        <f>$X$7</f>
        <v>NR_ES-HO-WatHeat</v>
      </c>
      <c r="E72">
        <f t="shared" si="4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</row>
    <row r="73" spans="1:84" x14ac:dyDescent="0.2">
      <c r="C73" t="s">
        <v>63</v>
      </c>
      <c r="G73" s="18"/>
      <c r="H73" s="4"/>
      <c r="I73" s="4"/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</row>
    <row r="74" spans="1:84" x14ac:dyDescent="0.2">
      <c r="G74" s="18"/>
      <c r="H74" s="4"/>
      <c r="I74" s="4"/>
      <c r="J74" s="3"/>
      <c r="K74" s="3"/>
      <c r="L74" s="3"/>
      <c r="N74" s="21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</row>
    <row r="75" spans="1:84" x14ac:dyDescent="0.2">
      <c r="A75" s="6" t="s">
        <v>233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 spans="1:84" x14ac:dyDescent="0.2">
      <c r="B76" s="1"/>
      <c r="E76" s="1" t="s">
        <v>15</v>
      </c>
      <c r="G76" s="2"/>
      <c r="H76" s="5"/>
      <c r="I76" s="4"/>
      <c r="J76" s="3"/>
      <c r="K76" s="3"/>
      <c r="L76" s="3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</row>
    <row r="77" spans="1:84" ht="39" thickBot="1" x14ac:dyDescent="0.25">
      <c r="A77" s="7" t="s">
        <v>16</v>
      </c>
      <c r="B77" s="7" t="s">
        <v>17</v>
      </c>
      <c r="C77" s="8" t="s">
        <v>19</v>
      </c>
      <c r="D77" s="8" t="s">
        <v>20</v>
      </c>
      <c r="E77" s="8" t="s">
        <v>21</v>
      </c>
      <c r="F77" s="9" t="s">
        <v>463</v>
      </c>
      <c r="G77" s="10" t="s">
        <v>23</v>
      </c>
      <c r="H77" s="12" t="s">
        <v>24</v>
      </c>
      <c r="I77" s="13" t="s">
        <v>25</v>
      </c>
      <c r="J77" s="11" t="s">
        <v>258</v>
      </c>
      <c r="K77" s="9" t="str">
        <f>CONCATENATE("CEFF~",X7)</f>
        <v>CEFF~NR_ES-HO-WatHeat</v>
      </c>
      <c r="L77" s="9" t="str">
        <f>CONCATENATE("CEFF~",X8)</f>
        <v>CEFF~NR_ES-HO-SpCool</v>
      </c>
      <c r="M77" s="10" t="s">
        <v>27</v>
      </c>
      <c r="N77" s="10" t="s">
        <v>28</v>
      </c>
      <c r="O77" s="10" t="s">
        <v>227</v>
      </c>
      <c r="P77" s="10" t="s">
        <v>26</v>
      </c>
      <c r="Q77" s="10" t="s">
        <v>29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106"/>
      <c r="AD77" s="107"/>
      <c r="AE77" s="107"/>
      <c r="AF77" s="107"/>
      <c r="AG77" s="33"/>
      <c r="AH77" s="33"/>
      <c r="AI77" s="33"/>
      <c r="AJ77" s="33"/>
      <c r="AK77" s="33"/>
      <c r="AL77" s="33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</row>
    <row r="78" spans="1:84" x14ac:dyDescent="0.2">
      <c r="B78" t="str">
        <f>"C_ES-SC-HO_"&amp;RIGHT(C78,3)&amp;"01"</f>
        <v>C_ES-SC-HO_ELC01</v>
      </c>
      <c r="C78" t="s">
        <v>32</v>
      </c>
      <c r="D78" t="str">
        <f t="shared" ref="D78:D84" si="5">$X$8</f>
        <v>NR_ES-HO-SpCool</v>
      </c>
      <c r="E78">
        <f t="shared" ref="E78:E84" si="6">Q78</f>
        <v>2011</v>
      </c>
      <c r="F78">
        <v>1</v>
      </c>
      <c r="G78" s="18">
        <f>'Generalized Data'!$C$3</f>
        <v>6.3071999999999999</v>
      </c>
      <c r="H78" s="4">
        <f>'Generalized Data'!C149</f>
        <v>24.05</v>
      </c>
      <c r="I78" s="4">
        <f>'Generalized Data'!E149</f>
        <v>481</v>
      </c>
      <c r="J78" s="3">
        <f>'Generalized Data'!G149</f>
        <v>3</v>
      </c>
      <c r="K78" s="3"/>
      <c r="L78" s="3"/>
      <c r="M78" s="4"/>
      <c r="N78" s="4"/>
      <c r="O78" s="4"/>
      <c r="P78" s="2">
        <f>'Generalized Data'!M149</f>
        <v>10</v>
      </c>
      <c r="Q78" s="94">
        <v>2011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84" x14ac:dyDescent="0.2">
      <c r="B79" t="str">
        <f>"C_ES-SC-HO_"&amp;RIGHT(C79,3)&amp;"02"</f>
        <v>C_ES-SC-HO_ELC02</v>
      </c>
      <c r="C79" t="s">
        <v>32</v>
      </c>
      <c r="D79" t="str">
        <f t="shared" si="5"/>
        <v>NR_ES-HO-SpCool</v>
      </c>
      <c r="E79">
        <f t="shared" si="6"/>
        <v>2011</v>
      </c>
      <c r="F79">
        <v>1</v>
      </c>
      <c r="G79" s="18">
        <f>'Generalized Data'!$C$3</f>
        <v>6.3071999999999999</v>
      </c>
      <c r="H79" s="4">
        <f>'Generalized Data'!C150</f>
        <v>7.5994827479999998</v>
      </c>
      <c r="I79" s="4">
        <f>'Generalized Data'!E150</f>
        <v>151.98965496</v>
      </c>
      <c r="J79" s="3">
        <f>'Generalized Data'!G150</f>
        <v>0.4</v>
      </c>
      <c r="K79" s="3"/>
      <c r="L79" s="3"/>
      <c r="M79" s="4"/>
      <c r="N79" s="4"/>
      <c r="O79" s="4"/>
      <c r="P79" s="2">
        <f>'Generalized Data'!M150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</row>
    <row r="80" spans="1:84" x14ac:dyDescent="0.2">
      <c r="B80" t="str">
        <f>"C_ES-SC-HO_"&amp;RIGHT(C80,3)&amp;"03"</f>
        <v>C_ES-SC-HO_ELC03</v>
      </c>
      <c r="C80" t="s">
        <v>32</v>
      </c>
      <c r="D80" t="str">
        <f t="shared" si="5"/>
        <v>NR_ES-HO-SpCool</v>
      </c>
      <c r="E80">
        <f t="shared" si="6"/>
        <v>2011</v>
      </c>
      <c r="F80">
        <v>1</v>
      </c>
      <c r="G80" s="18">
        <f>'Generalized Data'!$C$3</f>
        <v>6.3071999999999999</v>
      </c>
      <c r="H80" s="4">
        <f>'Generalized Data'!C151</f>
        <v>0.72955034380799999</v>
      </c>
      <c r="I80" s="4">
        <f>'Generalized Data'!E151</f>
        <v>91.193792975999997</v>
      </c>
      <c r="J80" s="3">
        <f>'Generalized Data'!G151</f>
        <v>3.1</v>
      </c>
      <c r="K80" s="3"/>
      <c r="L80" s="3"/>
      <c r="M80" s="4"/>
      <c r="N80" s="4"/>
      <c r="O80" s="4"/>
      <c r="P80" s="2">
        <f>'Generalized Data'!M151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</row>
    <row r="81" spans="2:32" x14ac:dyDescent="0.2">
      <c r="B81" t="str">
        <f>"C_ES-SC-HO_"&amp;RIGHT(C81,3)&amp;"04"</f>
        <v>C_ES-SC-HO_ELC04</v>
      </c>
      <c r="C81" t="s">
        <v>32</v>
      </c>
      <c r="D81" t="str">
        <f t="shared" si="5"/>
        <v>NR_ES-HO-SpCool</v>
      </c>
      <c r="E81">
        <f t="shared" si="6"/>
        <v>2011</v>
      </c>
      <c r="F81">
        <v>1</v>
      </c>
      <c r="G81" s="18">
        <f>'Generalized Data'!$C$4</f>
        <v>31.536000000000001</v>
      </c>
      <c r="H81" s="4">
        <f>'Generalized Data'!C152</f>
        <v>2.6640000000000001</v>
      </c>
      <c r="I81" s="4">
        <f>'Generalized Data'!E152</f>
        <v>333</v>
      </c>
      <c r="J81" s="3">
        <f>'Generalized Data'!G152</f>
        <v>2.93</v>
      </c>
      <c r="K81" s="3"/>
      <c r="L81" s="3"/>
      <c r="M81" s="4"/>
      <c r="N81" s="4"/>
      <c r="O81" s="4"/>
      <c r="P81" s="2">
        <f>'Generalized Data'!M152</f>
        <v>15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</row>
    <row r="82" spans="2:32" x14ac:dyDescent="0.2">
      <c r="B82" t="str">
        <f>"C_ES-SC-HO_"&amp;RIGHT(C82,3)&amp;"05"</f>
        <v>C_ES-SC-HO_ELC05</v>
      </c>
      <c r="C82" t="s">
        <v>32</v>
      </c>
      <c r="D82" t="str">
        <f t="shared" si="5"/>
        <v>NR_ES-HO-SpCool</v>
      </c>
      <c r="E82">
        <f t="shared" si="6"/>
        <v>2011</v>
      </c>
      <c r="F82">
        <v>1</v>
      </c>
      <c r="G82" s="18">
        <f>'Generalized Data'!$C$4</f>
        <v>31.536000000000001</v>
      </c>
      <c r="H82" s="4">
        <f>'Generalized Data'!C153</f>
        <v>2.1796442370559999</v>
      </c>
      <c r="I82" s="4">
        <f>'Generalized Data'!E153</f>
        <v>272.45552963199998</v>
      </c>
      <c r="J82" s="3">
        <f>'Generalized Data'!G153</f>
        <v>2.75</v>
      </c>
      <c r="K82" s="3"/>
      <c r="L82" s="3"/>
      <c r="M82" s="4"/>
      <c r="N82" s="4"/>
      <c r="O82" s="4"/>
      <c r="P82" s="2">
        <f>'Generalized Data'!M153</f>
        <v>15</v>
      </c>
      <c r="Q82" s="94">
        <v>2011</v>
      </c>
    </row>
    <row r="83" spans="2:32" x14ac:dyDescent="0.2">
      <c r="B83" t="str">
        <f>"C_ES-SC-HO_"&amp;RIGHT(C83,3)&amp;"01"</f>
        <v>C_ES-SC-HO_GAS01</v>
      </c>
      <c r="C83" t="s">
        <v>35</v>
      </c>
      <c r="D83" t="str">
        <f t="shared" si="5"/>
        <v>NR_ES-HO-SpCool</v>
      </c>
      <c r="E83">
        <f t="shared" si="6"/>
        <v>2011</v>
      </c>
      <c r="F83">
        <v>1</v>
      </c>
      <c r="G83" s="18">
        <f>'Generalized Data'!$C$4</f>
        <v>31.536000000000001</v>
      </c>
      <c r="H83" s="4">
        <f>'Generalized Data'!C154</f>
        <v>97.048209315199998</v>
      </c>
      <c r="I83" s="4">
        <f>'Generalized Data'!E154</f>
        <v>1940.9641863039999</v>
      </c>
      <c r="J83" s="3">
        <f>'Generalized Data'!G154</f>
        <v>4.41</v>
      </c>
      <c r="K83" s="3"/>
      <c r="L83" s="3"/>
      <c r="M83" s="4"/>
      <c r="N83" s="4"/>
      <c r="O83" s="4"/>
      <c r="P83" s="2">
        <f>'Generalized Data'!M154</f>
        <v>15</v>
      </c>
      <c r="Q83" s="94">
        <v>2011</v>
      </c>
    </row>
    <row r="84" spans="2:32" x14ac:dyDescent="0.2">
      <c r="B84" t="str">
        <f>"C_ES-SC-HO_"&amp;RIGHT(C84,3)&amp;"02"</f>
        <v>C_ES-SC-HO_GAS02</v>
      </c>
      <c r="C84" t="s">
        <v>35</v>
      </c>
      <c r="D84" t="str">
        <f t="shared" si="5"/>
        <v>NR_ES-HO-SpCool</v>
      </c>
      <c r="E84">
        <f t="shared" si="6"/>
        <v>2011</v>
      </c>
      <c r="F84">
        <v>1</v>
      </c>
      <c r="G84" s="18">
        <f>'Generalized Data'!$C$4</f>
        <v>31.536000000000001</v>
      </c>
      <c r="H84" s="4">
        <f>'Generalized Data'!C155</f>
        <v>69.127146774400003</v>
      </c>
      <c r="I84" s="4">
        <f>'Generalized Data'!E155</f>
        <v>1382.542935488</v>
      </c>
      <c r="J84" s="3">
        <f>'Generalized Data'!G155</f>
        <v>1.0349999999999999</v>
      </c>
      <c r="K84" s="3"/>
      <c r="L84" s="3"/>
      <c r="M84" s="4"/>
      <c r="N84" s="4"/>
      <c r="O84" s="4"/>
      <c r="P84" s="2">
        <f>'Generalized Data'!M155</f>
        <v>15</v>
      </c>
      <c r="Q84" s="94">
        <v>2011</v>
      </c>
    </row>
    <row r="85" spans="2:32" x14ac:dyDescent="0.2">
      <c r="G85" s="18"/>
      <c r="H85" s="4"/>
      <c r="I85" s="4"/>
      <c r="J85" s="3"/>
      <c r="K85" s="3"/>
      <c r="L85" s="3"/>
      <c r="M85" s="4"/>
      <c r="N85" s="4"/>
      <c r="O85" s="4"/>
      <c r="P85" s="2"/>
    </row>
  </sheetData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CL112"/>
  <sheetViews>
    <sheetView zoomScale="50" zoomScaleNormal="50" workbookViewId="0">
      <selection activeCell="D94" sqref="D94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4" max="4" width="18.7109375" bestFit="1" customWidth="1"/>
    <col min="5" max="5" width="9.140625" customWidth="1"/>
    <col min="10" max="10" width="12" customWidth="1"/>
    <col min="11" max="12" width="10.28515625" customWidth="1"/>
  </cols>
  <sheetData>
    <row r="1" spans="1:90" x14ac:dyDescent="0.2">
      <c r="A1" s="6" t="s">
        <v>484</v>
      </c>
      <c r="G1" t="s">
        <v>230</v>
      </c>
    </row>
    <row r="2" spans="1:90" x14ac:dyDescent="0.2">
      <c r="A2" s="110" t="s">
        <v>487</v>
      </c>
      <c r="B2" s="98"/>
      <c r="C2" s="98"/>
      <c r="D2" s="98"/>
      <c r="E2" s="98"/>
    </row>
    <row r="4" spans="1:90" x14ac:dyDescent="0.2">
      <c r="B4" s="1"/>
      <c r="F4" s="1" t="s">
        <v>385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CONCATENATE("CEFF~",AD7)</f>
        <v>CEFF~NR_ES-HR-WatHeat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CEFF~NR_ES-HR-SpCool</v>
      </c>
      <c r="S5" s="9" t="str">
        <f>CONCATENATE("CEFF~",AD6)</f>
        <v>CEFF~NR_ES-HR-SpHeat</v>
      </c>
      <c r="T5" s="9" t="str">
        <f>CONCATENATE("CEFF~",AD6,"~W")</f>
        <v>CEFF~NR_ES-HR-SpHeat~W</v>
      </c>
      <c r="U5" s="9" t="str">
        <f>CONCATENATE("CEFF~",AD6,"~R")</f>
        <v>CEFF~NR_ES-HR-SpHeat~R</v>
      </c>
      <c r="V5" s="9" t="str">
        <f>CONCATENATE("CEFF~",AD6,"~S")</f>
        <v>CEFF~NR_ES-HR-SpHeat~S</v>
      </c>
      <c r="W5" s="9" t="str">
        <f>CONCATENATE("CEFF~",AD6,"~F")</f>
        <v>CEFF~NR_ES-HR-SpHeat~F</v>
      </c>
      <c r="X5" s="9" t="str">
        <f>CONCATENATE("AFC~",AD6)</f>
        <v>AFC~NR_ES-HR-SpHeat</v>
      </c>
      <c r="Y5" s="9" t="str">
        <f>CONCATENATE("AFC~",AD8)</f>
        <v>AFC~NR_ES-HR-SpCool</v>
      </c>
      <c r="Z5" s="9" t="str">
        <f>CONCATENATE("Share-O~LO~",AD6)</f>
        <v>Share-O~LO~NR_ES-HR-SpHeat</v>
      </c>
      <c r="AA5" s="12" t="s">
        <v>386</v>
      </c>
      <c r="AB5" s="13" t="s">
        <v>387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"C_ES-SH-HR_"&amp;RIGHT(C6,3)&amp;"01"</f>
        <v>C_ES-SH-HR_ELC01</v>
      </c>
      <c r="C6" t="s">
        <v>32</v>
      </c>
      <c r="D6" t="str">
        <f>$AD$6</f>
        <v>NR_ES-HR-SpHeat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23"/>
      <c r="AB6" s="23"/>
      <c r="AD6" t="s">
        <v>416</v>
      </c>
    </row>
    <row r="7" spans="1:90" x14ac:dyDescent="0.2">
      <c r="B7" t="str">
        <f>"C_ES-SH-HR_"&amp;RIGHT(C7,3)&amp;"02"</f>
        <v>C_ES-SH-HR_ELC02</v>
      </c>
      <c r="C7" t="s">
        <v>32</v>
      </c>
      <c r="D7" t="str">
        <f>$AD$6</f>
        <v>NR_ES-HR-SpHeat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23"/>
      <c r="AB7" s="23"/>
      <c r="AD7" t="s">
        <v>417</v>
      </c>
    </row>
    <row r="8" spans="1:90" x14ac:dyDescent="0.2">
      <c r="B8" t="str">
        <f>"C_ES-SH-HR_"&amp;RIGHT(C8,3)&amp;"03"</f>
        <v>C_ES-SH-HR_ELC03</v>
      </c>
      <c r="C8" t="s">
        <v>32</v>
      </c>
      <c r="D8" t="str">
        <f>$AD$6</f>
        <v>NR_ES-HR-SpHeat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N8" s="3"/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1" si="0">IF(I8="","",I8)</f>
        <v>14.4</v>
      </c>
      <c r="AB8" s="23">
        <f t="shared" ref="AB8:AB21" si="1">IF(K8="","",K8)</f>
        <v>720</v>
      </c>
      <c r="AD8" t="s">
        <v>418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"C_ES-SH-HR_"&amp;RIGHT(C10,3)&amp;"04"</f>
        <v>C_ES-SH-HR_ELC04</v>
      </c>
      <c r="C10" t="s">
        <v>32</v>
      </c>
      <c r="D10" t="str">
        <f>$AD$6</f>
        <v>NR_ES-HR-SpHeat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NR_ES-HR-SpCool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"C_ES-SH-HR_"&amp;RIGHT(C13,3)&amp;"05"</f>
        <v>C_ES-SH-HR_ELC05</v>
      </c>
      <c r="C13" t="s">
        <v>32</v>
      </c>
      <c r="D13" t="str">
        <f>$AD$6</f>
        <v>NR_ES-HR-SpHeat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NR_ES-HR-SpCool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"C_ES-SH-HR_"&amp;RIGHT(C16,3)&amp;"06"</f>
        <v>C_ES-SH-HR_ELC06</v>
      </c>
      <c r="C16" t="s">
        <v>32</v>
      </c>
      <c r="D16" t="str">
        <f>$AD$6</f>
        <v>NR_ES-HR-SpHeat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NR_ES-HR-SpCool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"C_ES-SH-HR_"&amp;RIGHT(C19,3)&amp;"07"</f>
        <v>C_ES-SH-HR_ELC07</v>
      </c>
      <c r="C19" t="s">
        <v>32</v>
      </c>
      <c r="D19" t="str">
        <f>$AD$6</f>
        <v>NR_ES-HR-SpHeat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NR_ES-HR-SpCool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"C_ES-SH-HR_"&amp;RIGHT(C22,3)&amp;"08"</f>
        <v>C_ES-SH-HR_ELC08</v>
      </c>
      <c r="C22" t="s">
        <v>32</v>
      </c>
      <c r="D22" t="str">
        <f>$AD$6</f>
        <v>NR_ES-HR-SpHeat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>IF(I22="","",I22)</f>
        <v>43.2</v>
      </c>
      <c r="AB22" s="23">
        <f>IF(K22="","",K22)</f>
        <v>1080</v>
      </c>
    </row>
    <row r="23" spans="2:28" x14ac:dyDescent="0.2">
      <c r="D23" t="str">
        <f>$AD$8</f>
        <v>NR_ES-HR-SpCool</v>
      </c>
      <c r="H23" s="18"/>
      <c r="I23" s="4"/>
      <c r="K23" s="4"/>
      <c r="M23" s="3"/>
      <c r="N23" s="3"/>
      <c r="P23" s="2"/>
      <c r="Q23" s="2"/>
      <c r="AA23" s="23" t="str">
        <f>IF(I23="","",I23)</f>
        <v/>
      </c>
      <c r="AB23" s="23" t="str">
        <f>IF(K23="","",K23)</f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 t="str">
        <f>IF(I24="","",I24)</f>
        <v/>
      </c>
      <c r="AB24" s="23" t="str">
        <f>IF(K24="","",K24)</f>
        <v/>
      </c>
    </row>
    <row r="25" spans="2:28" x14ac:dyDescent="0.2">
      <c r="B25" t="str">
        <f>"C_ES-SH-HR_"&amp;RIGHT(C25,3)&amp;"01"</f>
        <v>C_ES-SH-HR_GAS01</v>
      </c>
      <c r="C25" t="s">
        <v>35</v>
      </c>
      <c r="D25" t="str">
        <f>$AD$6</f>
        <v>NR_ES-HR-SpHeat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"C_ES-SH-HR_"&amp;RIGHT(C26,3)&amp;"02"</f>
        <v>C_ES-SH-HR_GAS02</v>
      </c>
      <c r="C26" t="s">
        <v>35</v>
      </c>
      <c r="D26" t="str">
        <f>$AD$6</f>
        <v>NR_ES-HR-SpHeat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"C_ES-SH-HR_"&amp;RIGHT(C27,3)&amp;"03"</f>
        <v>C_ES-SH-HR_GAS03</v>
      </c>
      <c r="C27" t="s">
        <v>35</v>
      </c>
      <c r="D27" t="str">
        <f>$AD$6</f>
        <v>NR_ES-HR-SpHeat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/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NR_ES-HR-WatHeat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"C_ES-SH-HR_"&amp;RIGHT(C29,3)&amp;"04"</f>
        <v>C_ES-SH-HR_GAS04</v>
      </c>
      <c r="C29" t="s">
        <v>35</v>
      </c>
      <c r="D29" t="str">
        <f>$AD$6</f>
        <v>NR_ES-HR-SpHeat</v>
      </c>
      <c r="F29">
        <f t="shared" ref="F29:F54" si="2"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"C_ES-SH-HR_"&amp;RIGHT(C30,3)&amp;"05"</f>
        <v>C_ES-SH-HR_GAS05</v>
      </c>
      <c r="C30" t="s">
        <v>35</v>
      </c>
      <c r="D30" t="str">
        <f>$AD$6</f>
        <v>NR_ES-HR-SpHeat</v>
      </c>
      <c r="F30">
        <f t="shared" si="2"/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Data'!H$121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NR_ES-HR-WatHeat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 t="shared" ref="AA31:AA39" si="3">IF(I31="","",I31)</f>
        <v/>
      </c>
      <c r="AB31" s="23" t="str">
        <f t="shared" ref="AB31:AB39" si="4">IF(K31="","",K31)</f>
        <v/>
      </c>
    </row>
    <row r="32" spans="2:28" x14ac:dyDescent="0.2">
      <c r="B32" t="str">
        <f>"C_ES-SH-HR_"&amp;RIGHT(C32,3)&amp;"06"</f>
        <v>C_ES-SH-HR_GAS06</v>
      </c>
      <c r="C32" t="s">
        <v>35</v>
      </c>
      <c r="D32" t="str">
        <f>$AD$6</f>
        <v>NR_ES-HR-SpHeat</v>
      </c>
      <c r="F32">
        <f t="shared" si="2"/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 t="shared" si="3"/>
        <v>44.64</v>
      </c>
      <c r="AB32" s="23">
        <f t="shared" si="4"/>
        <v>1116</v>
      </c>
    </row>
    <row r="33" spans="2:28" x14ac:dyDescent="0.2">
      <c r="D33" t="str">
        <f>$AD$8</f>
        <v>NR_ES-HR-SpCool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 t="shared" si="3"/>
        <v/>
      </c>
      <c r="AB33" s="23" t="str">
        <f t="shared" si="4"/>
        <v/>
      </c>
    </row>
    <row r="34" spans="2:28" x14ac:dyDescent="0.2">
      <c r="B34" t="str">
        <f>"C_ES-SH-HR_"&amp;RIGHT(C34,3)&amp;"07"</f>
        <v>C_ES-SH-HR_GAS07</v>
      </c>
      <c r="C34" t="s">
        <v>35</v>
      </c>
      <c r="D34" t="str">
        <f>$AD$6</f>
        <v>NR_ES-HR-SpHeat</v>
      </c>
      <c r="F34">
        <f t="shared" si="2"/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 t="shared" si="3"/>
        <v>55.440000000000005</v>
      </c>
      <c r="AB34" s="23">
        <f t="shared" si="4"/>
        <v>1386</v>
      </c>
    </row>
    <row r="35" spans="2:28" x14ac:dyDescent="0.2">
      <c r="D35" t="str">
        <f>$AD$8</f>
        <v>NR_ES-HR-SpCool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 t="shared" si="3"/>
        <v/>
      </c>
      <c r="AB35" s="23" t="str">
        <f t="shared" si="4"/>
        <v/>
      </c>
    </row>
    <row r="36" spans="2:28" x14ac:dyDescent="0.2">
      <c r="B36" t="str">
        <f>"C_ES-SH-HR_"&amp;RIGHT(C36,3)&amp;"01"</f>
        <v>C_ES-SH-HR_LPG01</v>
      </c>
      <c r="C36" t="s">
        <v>65</v>
      </c>
      <c r="D36" t="str">
        <f>$AD$6</f>
        <v>NR_ES-HR-SpHeat</v>
      </c>
      <c r="F36">
        <f t="shared" si="2"/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"C_ES-SH-HR_"&amp;RIGHT(C37,3)&amp;"02"</f>
        <v>C_ES-SH-HR_LPG02</v>
      </c>
      <c r="C37" t="s">
        <v>65</v>
      </c>
      <c r="D37" t="str">
        <f>$AD$6</f>
        <v>NR_ES-HR-SpHeat</v>
      </c>
      <c r="F37">
        <f t="shared" si="2"/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Data'!H$125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NR_ES-HR-WatHeat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 t="shared" si="3"/>
        <v/>
      </c>
      <c r="AB38" s="23" t="str">
        <f t="shared" si="4"/>
        <v/>
      </c>
    </row>
    <row r="39" spans="2:28" x14ac:dyDescent="0.2">
      <c r="B39" t="str">
        <f>"C_ES-SH-HR_"&amp;RIGHT(C39,3)&amp;"03"</f>
        <v>C_ES-SH-HR_LPG03</v>
      </c>
      <c r="C39" t="s">
        <v>65</v>
      </c>
      <c r="D39" t="str">
        <f>$AD$6</f>
        <v>NR_ES-HR-SpHeat</v>
      </c>
      <c r="F39">
        <f t="shared" si="2"/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 t="shared" si="3"/>
        <v>44.64</v>
      </c>
      <c r="AB39" s="23">
        <f t="shared" si="4"/>
        <v>1116</v>
      </c>
    </row>
    <row r="40" spans="2:28" x14ac:dyDescent="0.2">
      <c r="D40" t="str">
        <f>$AD$8</f>
        <v>NR_ES-HR-SpCool</v>
      </c>
      <c r="H40" s="18"/>
      <c r="I40" s="4"/>
      <c r="K40" s="4"/>
      <c r="M40" s="3"/>
      <c r="N40" s="3"/>
      <c r="P40" s="2"/>
      <c r="Q40" s="2"/>
      <c r="R40" s="78"/>
      <c r="S40" s="78"/>
    </row>
    <row r="41" spans="2:28" x14ac:dyDescent="0.2">
      <c r="B41" t="str">
        <f>"C_ES-SH-HR_"&amp;RIGHT(C41,3)&amp;"01"</f>
        <v>C_ES-SH-HR_HET01</v>
      </c>
      <c r="C41" t="s">
        <v>465</v>
      </c>
      <c r="D41" t="str">
        <f>$AD$6</f>
        <v>NR_ES-HR-SpHeat</v>
      </c>
      <c r="F41">
        <f t="shared" si="2"/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</row>
    <row r="42" spans="2:28" x14ac:dyDescent="0.2">
      <c r="D42" t="str">
        <f>$AD$7</f>
        <v>NR_ES-HR-WatHeat</v>
      </c>
      <c r="H42" s="18"/>
      <c r="I42" s="4"/>
      <c r="K42" s="4"/>
      <c r="M42" s="3"/>
      <c r="N42" s="3"/>
      <c r="P42" s="2"/>
      <c r="Q42" s="2"/>
    </row>
    <row r="43" spans="2:28" x14ac:dyDescent="0.2">
      <c r="B43" t="str">
        <f>"C_ES-SH-HR_"&amp;RIGHT(C43,3)&amp;"01"</f>
        <v>C_ES-SH-HR_OIL01</v>
      </c>
      <c r="C43" t="s">
        <v>62</v>
      </c>
      <c r="D43" t="str">
        <f>$AD$6</f>
        <v>NR_ES-HR-SpHeat</v>
      </c>
      <c r="F43">
        <f t="shared" si="2"/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</row>
    <row r="44" spans="2:28" x14ac:dyDescent="0.2">
      <c r="B44" t="str">
        <f>"C_ES-SH-HR_"&amp;RIGHT(C44,3)&amp;"02"</f>
        <v>C_ES-SH-HR_OIL02</v>
      </c>
      <c r="C44" t="s">
        <v>62</v>
      </c>
      <c r="D44" t="str">
        <f>$AD$6</f>
        <v>NR_ES-HR-SpHeat</v>
      </c>
      <c r="F44">
        <f t="shared" si="2"/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</row>
    <row r="45" spans="2:28" x14ac:dyDescent="0.2">
      <c r="D45" t="str">
        <f>$AD$7</f>
        <v>NR_ES-HR-WatHeat</v>
      </c>
      <c r="H45" s="18"/>
      <c r="I45" s="4"/>
      <c r="K45" s="4"/>
      <c r="M45" s="3"/>
      <c r="N45" s="3"/>
      <c r="P45" s="2"/>
      <c r="Q45" s="2"/>
    </row>
    <row r="46" spans="2:28" x14ac:dyDescent="0.2">
      <c r="B46" t="str">
        <f>"C_ES-SH-HR_"&amp;RIGHT(C46,3)&amp;"03"</f>
        <v>C_ES-SH-HR_OIL03</v>
      </c>
      <c r="C46" t="s">
        <v>62</v>
      </c>
      <c r="D46" t="str">
        <f>$AD$6</f>
        <v>NR_ES-HR-SpHeat</v>
      </c>
      <c r="F46">
        <f t="shared" si="2"/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Data'!H$130</f>
        <v>0.38</v>
      </c>
      <c r="P46" s="2">
        <f>'Generalized Data'!M$130</f>
        <v>20</v>
      </c>
      <c r="Q46" s="94">
        <v>2011</v>
      </c>
    </row>
    <row r="47" spans="2:28" x14ac:dyDescent="0.2">
      <c r="D47" t="str">
        <f>$AD$7</f>
        <v>NR_ES-HR-WatHeat</v>
      </c>
      <c r="H47" s="18"/>
      <c r="I47" s="4"/>
      <c r="K47" s="4"/>
      <c r="M47" s="3"/>
      <c r="N47" s="3"/>
      <c r="P47" s="2"/>
      <c r="Q47" s="2"/>
    </row>
    <row r="48" spans="2:28" x14ac:dyDescent="0.2">
      <c r="B48" t="str">
        <f>"C_ES-SH-HR_"&amp;RIGHT(C48,3)&amp;"09"</f>
        <v>C_ES-SH-HR_ELC09</v>
      </c>
      <c r="C48" t="s">
        <v>32</v>
      </c>
      <c r="D48" t="str">
        <f>$AD$6</f>
        <v>NR_ES-HR-SpHeat</v>
      </c>
      <c r="F48">
        <f t="shared" si="2"/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Data'!H$131</f>
        <v>1.0731707317073171</v>
      </c>
      <c r="P48" s="2">
        <f>'Generalized Data'!M$131</f>
        <v>20</v>
      </c>
      <c r="Q48" s="94">
        <v>2011</v>
      </c>
    </row>
    <row r="49" spans="1:90" x14ac:dyDescent="0.2">
      <c r="C49" t="s">
        <v>63</v>
      </c>
      <c r="D49" t="str">
        <f>$AD$7</f>
        <v>NR_ES-HR-WatHeat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</row>
    <row r="50" spans="1:90" x14ac:dyDescent="0.2">
      <c r="B50" t="str">
        <f>"C_ES-SH-HR_"&amp;RIGHT(C50,3)&amp;"04"</f>
        <v>C_ES-SH-HR_OIL04</v>
      </c>
      <c r="C50" t="s">
        <v>62</v>
      </c>
      <c r="D50" t="str">
        <f>$AD$6</f>
        <v>NR_ES-HR-SpHeat</v>
      </c>
      <c r="F50">
        <f t="shared" si="2"/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Data'!H$132</f>
        <v>0.65853658536585369</v>
      </c>
      <c r="P50" s="2">
        <f>'Generalized Data'!M$132</f>
        <v>20</v>
      </c>
      <c r="Q50" s="94">
        <v>2011</v>
      </c>
    </row>
    <row r="51" spans="1:90" x14ac:dyDescent="0.2">
      <c r="C51" t="s">
        <v>63</v>
      </c>
      <c r="D51" t="str">
        <f>$AD$7</f>
        <v>NR_ES-HR-WatHeat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</row>
    <row r="52" spans="1:90" x14ac:dyDescent="0.2">
      <c r="B52" t="str">
        <f>"C_ES-SH-HR_"&amp;RIGHT(C52,3)&amp;"08"</f>
        <v>C_ES-SH-HR_GAS08</v>
      </c>
      <c r="C52" t="s">
        <v>35</v>
      </c>
      <c r="D52" t="str">
        <f>$AD$6</f>
        <v>NR_ES-HR-SpHeat</v>
      </c>
      <c r="F52">
        <f t="shared" si="2"/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Data'!H$133</f>
        <v>0.65853658536585369</v>
      </c>
      <c r="P52" s="2">
        <f>'Generalized Data'!M$133</f>
        <v>20</v>
      </c>
      <c r="Q52" s="94">
        <v>2011</v>
      </c>
    </row>
    <row r="53" spans="1:90" x14ac:dyDescent="0.2">
      <c r="C53" t="s">
        <v>63</v>
      </c>
      <c r="D53" t="str">
        <f>$AD$7</f>
        <v>NR_ES-HR-WatHeat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</row>
    <row r="54" spans="1:90" x14ac:dyDescent="0.2">
      <c r="B54" t="str">
        <f>"C_ES-SH-HR_"&amp;RIGHT(C54,3)&amp;"01"</f>
        <v>C_ES-SH-HR_BIO01</v>
      </c>
      <c r="C54" t="s">
        <v>64</v>
      </c>
      <c r="D54" t="str">
        <f>$AD$6</f>
        <v>NR_ES-HR-SpHeat</v>
      </c>
      <c r="F54">
        <f t="shared" si="2"/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</row>
    <row r="55" spans="1:90" x14ac:dyDescent="0.2">
      <c r="D55" t="str">
        <f>$AD$7</f>
        <v>NR_ES-HR-WatHeat</v>
      </c>
      <c r="H55" s="18"/>
      <c r="I55" s="4"/>
      <c r="K55" s="4"/>
      <c r="M55" s="3"/>
      <c r="N55" s="3"/>
      <c r="P55" s="2"/>
      <c r="Q55" s="2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</row>
    <row r="56" spans="1:90" x14ac:dyDescent="0.2"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463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CEFF~NR_ES-HR-WatHeat</v>
      </c>
      <c r="L59" s="9" t="str">
        <f>CONCATENATE("CEFF~",AD8)</f>
        <v>CEFF~NR_ES-HR-SpCool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107"/>
      <c r="AL59" s="107"/>
      <c r="AM59" s="107"/>
      <c r="AN59" s="33"/>
      <c r="AO59" s="33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"C_ES-WH-HR_"&amp;RIGHT(C60,3)&amp;"01"</f>
        <v>C_ES-WH-HR_BIO01</v>
      </c>
      <c r="C60" t="s">
        <v>64</v>
      </c>
      <c r="D60" t="str">
        <f>$AD$7</f>
        <v>NR_ES-HR-WatHeat</v>
      </c>
      <c r="E60">
        <f t="shared" ref="E60:E74" si="5"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</row>
    <row r="61" spans="1:90" x14ac:dyDescent="0.2">
      <c r="B61" t="str">
        <f>"C_ES-WH-HR_"&amp;RIGHT(C61,3)&amp;"01"</f>
        <v>C_ES-WH-HR_ELC01</v>
      </c>
      <c r="C61" t="s">
        <v>32</v>
      </c>
      <c r="D61" t="str">
        <f>$AD$7</f>
        <v>NR_ES-HR-WatHeat</v>
      </c>
      <c r="E61">
        <f t="shared" si="5"/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</row>
    <row r="62" spans="1:90" x14ac:dyDescent="0.2">
      <c r="B62" t="str">
        <f>"C_ES-WH-HR_"&amp;RIGHT(C62,3)&amp;"02"</f>
        <v>C_ES-WH-HR_ELC02</v>
      </c>
      <c r="C62" t="s">
        <v>32</v>
      </c>
      <c r="D62" t="str">
        <f>$AD$7</f>
        <v>NR_ES-HR-WatHeat</v>
      </c>
      <c r="E62">
        <f t="shared" si="5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</row>
    <row r="64" spans="1:90" x14ac:dyDescent="0.2">
      <c r="B64" t="str">
        <f>"C_ES-WH-HR_"&amp;RIGHT(C64,3)&amp;"01"</f>
        <v>C_ES-WH-HR_GAS01</v>
      </c>
      <c r="C64" t="s">
        <v>35</v>
      </c>
      <c r="D64" t="str">
        <f>$AD$7</f>
        <v>NR_ES-HR-WatHeat</v>
      </c>
      <c r="E64">
        <f t="shared" si="5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</row>
    <row r="65" spans="1:90" x14ac:dyDescent="0.2">
      <c r="B65" t="str">
        <f>"C_ES-WH-HR_"&amp;RIGHT(C65,3)&amp;"01"</f>
        <v>C_ES-WH-HR_GEO01</v>
      </c>
      <c r="C65" t="s">
        <v>33</v>
      </c>
      <c r="D65" t="str">
        <f>$AD$7</f>
        <v>NR_ES-HR-WatHeat</v>
      </c>
      <c r="E65">
        <f t="shared" si="5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</row>
    <row r="66" spans="1:90" x14ac:dyDescent="0.2">
      <c r="B66" t="str">
        <f>"C_ES-WH-HR_"&amp;RIGHT(C66,3)&amp;"01"</f>
        <v>C_ES-WH-HR_LPG01</v>
      </c>
      <c r="C66" t="s">
        <v>65</v>
      </c>
      <c r="D66" t="str">
        <f>$AD$7</f>
        <v>NR_ES-HR-WatHeat</v>
      </c>
      <c r="E66">
        <f t="shared" si="5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</row>
    <row r="67" spans="1:90" x14ac:dyDescent="0.2">
      <c r="B67" t="str">
        <f>"C_ES-WH-HR_"&amp;RIGHT(C67,3)&amp;"01"</f>
        <v>C_ES-WH-HR_OIL01</v>
      </c>
      <c r="C67" t="s">
        <v>62</v>
      </c>
      <c r="D67" t="str">
        <f>$AD$7</f>
        <v>NR_ES-HR-WatHeat</v>
      </c>
      <c r="E67">
        <f t="shared" si="5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</row>
    <row r="68" spans="1:90" x14ac:dyDescent="0.2">
      <c r="B68" t="str">
        <f>"C_ES-WH-HR_"&amp;RIGHT(C68,3)&amp;"03"</f>
        <v>C_ES-WH-HR_ELC03</v>
      </c>
      <c r="C68" t="s">
        <v>32</v>
      </c>
      <c r="D68" t="str">
        <f>$AD$7</f>
        <v>NR_ES-HR-WatHeat</v>
      </c>
      <c r="E68">
        <f t="shared" si="5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</row>
    <row r="69" spans="1:90" x14ac:dyDescent="0.2">
      <c r="C69" t="s">
        <v>63</v>
      </c>
      <c r="E69">
        <v>2020</v>
      </c>
      <c r="G69" s="18"/>
      <c r="H69" s="4"/>
      <c r="I69" s="4">
        <f>'Generalized Data'!K144</f>
        <v>1358</v>
      </c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</row>
    <row r="70" spans="1:90" x14ac:dyDescent="0.2">
      <c r="B70" t="str">
        <f>"C_ES-WH-HR_"&amp;RIGHT(C70,3)&amp;"01"</f>
        <v>C_ES-WH-HR_OIL01</v>
      </c>
      <c r="C70" t="s">
        <v>62</v>
      </c>
      <c r="D70" t="str">
        <f>$AD$7</f>
        <v>NR_ES-HR-WatHeat</v>
      </c>
      <c r="E70">
        <f t="shared" si="5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</row>
    <row r="71" spans="1:90" x14ac:dyDescent="0.2">
      <c r="C71" t="s">
        <v>63</v>
      </c>
      <c r="E71">
        <v>2020</v>
      </c>
      <c r="G71" s="18"/>
      <c r="H71" s="4"/>
      <c r="I71" s="4">
        <f>'Generalized Data'!K145</f>
        <v>733</v>
      </c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</row>
    <row r="72" spans="1:90" x14ac:dyDescent="0.2">
      <c r="B72" t="str">
        <f>"C_ES-WH-HR_"&amp;RIGHT(C72,3)&amp;"01"</f>
        <v>C_ES-WH-HR_GAS01</v>
      </c>
      <c r="C72" t="s">
        <v>35</v>
      </c>
      <c r="D72" t="str">
        <f>$AD$7</f>
        <v>NR_ES-HR-WatHeat</v>
      </c>
      <c r="E72">
        <f t="shared" si="5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</row>
    <row r="73" spans="1:90" x14ac:dyDescent="0.2">
      <c r="C73" t="s">
        <v>63</v>
      </c>
      <c r="E73">
        <v>2020</v>
      </c>
      <c r="G73" s="18"/>
      <c r="H73" s="4"/>
      <c r="I73" s="4">
        <f>'Generalized Data'!K146</f>
        <v>834</v>
      </c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</row>
    <row r="74" spans="1:90" x14ac:dyDescent="0.2">
      <c r="B74" t="str">
        <f>"C_ES-WH-HR_"&amp;RIGHT(C74,3)&amp;"01"</f>
        <v>C_ES-WH-HR_WSE01</v>
      </c>
      <c r="C74" t="s">
        <v>295</v>
      </c>
      <c r="D74" t="str">
        <f>$AD$7</f>
        <v>NR_ES-HR-WatHeat</v>
      </c>
      <c r="E74">
        <f t="shared" si="5"/>
        <v>2011</v>
      </c>
      <c r="F74">
        <v>1</v>
      </c>
      <c r="G74" s="18">
        <f>'Generalized Data'!$C$4</f>
        <v>31.536000000000001</v>
      </c>
      <c r="H74" s="4">
        <f>'Generalized Data'!C147</f>
        <v>240</v>
      </c>
      <c r="I74" s="4">
        <f>'Generalized Data'!E147</f>
        <v>12000</v>
      </c>
      <c r="J74" s="3">
        <f>'Generalized Data'!G147</f>
        <v>1</v>
      </c>
      <c r="K74" s="3"/>
      <c r="L74" s="3"/>
      <c r="N74" s="21"/>
      <c r="P74" s="2">
        <f>'Generalized Data'!M147</f>
        <v>15</v>
      </c>
      <c r="Q74" s="94">
        <v>2011</v>
      </c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</row>
    <row r="75" spans="1:90" x14ac:dyDescent="0.2">
      <c r="G75" s="18"/>
      <c r="H75" s="4"/>
      <c r="I75" s="4"/>
      <c r="J75" s="3"/>
      <c r="K75" s="3"/>
      <c r="L75" s="3"/>
      <c r="N75" s="21"/>
      <c r="R75" s="112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</row>
    <row r="76" spans="1:90" x14ac:dyDescent="0.2">
      <c r="A76" s="6" t="s">
        <v>233</v>
      </c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</row>
    <row r="77" spans="1:90" x14ac:dyDescent="0.2">
      <c r="B77" s="1"/>
      <c r="E77" s="1" t="s">
        <v>15</v>
      </c>
      <c r="G77" s="2"/>
      <c r="H77" s="5"/>
      <c r="I77" s="4"/>
      <c r="J77" s="3"/>
      <c r="K77" s="3"/>
      <c r="L77" s="3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</row>
    <row r="78" spans="1:90" ht="39" thickBot="1" x14ac:dyDescent="0.25">
      <c r="A78" s="7" t="s">
        <v>16</v>
      </c>
      <c r="B78" s="7" t="s">
        <v>17</v>
      </c>
      <c r="C78" s="8" t="s">
        <v>19</v>
      </c>
      <c r="D78" s="8" t="s">
        <v>20</v>
      </c>
      <c r="E78" s="8" t="s">
        <v>21</v>
      </c>
      <c r="F78" s="9" t="s">
        <v>463</v>
      </c>
      <c r="G78" s="10" t="s">
        <v>23</v>
      </c>
      <c r="H78" s="12" t="s">
        <v>24</v>
      </c>
      <c r="I78" s="13" t="s">
        <v>25</v>
      </c>
      <c r="J78" s="11" t="s">
        <v>258</v>
      </c>
      <c r="K78" s="9" t="str">
        <f>CONCATENATE("CEFF~",AD7)</f>
        <v>CEFF~NR_ES-HR-WatHeat</v>
      </c>
      <c r="L78" s="9" t="str">
        <f>CONCATENATE("CEFF~",AD8)</f>
        <v>CEFF~NR_ES-HR-SpCool</v>
      </c>
      <c r="M78" s="10" t="s">
        <v>27</v>
      </c>
      <c r="N78" s="10" t="s">
        <v>28</v>
      </c>
      <c r="O78" s="10" t="s">
        <v>227</v>
      </c>
      <c r="P78" s="10" t="s">
        <v>26</v>
      </c>
      <c r="Q78" s="10" t="s">
        <v>29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106"/>
      <c r="AJ78" s="107"/>
      <c r="AK78" s="107"/>
      <c r="AL78" s="107"/>
      <c r="AM78" s="107"/>
      <c r="AN78" s="33"/>
      <c r="AO78" s="33"/>
      <c r="AP78" s="33"/>
      <c r="AQ78" s="33"/>
      <c r="AR78" s="33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</row>
    <row r="79" spans="1:90" x14ac:dyDescent="0.2">
      <c r="B79" t="str">
        <f>"C_ES-SC-HR_"&amp;RIGHT(C79,3)&amp;"01"</f>
        <v>C_ES-SC-HR_ELC01</v>
      </c>
      <c r="C79" t="s">
        <v>32</v>
      </c>
      <c r="D79" t="str">
        <f t="shared" ref="D79:D85" si="6">$AD$8</f>
        <v>NR_ES-HR-SpCool</v>
      </c>
      <c r="E79">
        <f t="shared" ref="E79:E85" si="7">Q79</f>
        <v>2011</v>
      </c>
      <c r="F79">
        <v>1</v>
      </c>
      <c r="G79" s="18">
        <f>'Generalized Data'!$C$3</f>
        <v>6.3071999999999999</v>
      </c>
      <c r="H79" s="4">
        <f>'Generalized Data'!C149</f>
        <v>24.05</v>
      </c>
      <c r="I79" s="4">
        <f>'Generalized Data'!E149</f>
        <v>481</v>
      </c>
      <c r="J79" s="3">
        <f>'Generalized Data'!G149</f>
        <v>3</v>
      </c>
      <c r="K79" s="3"/>
      <c r="L79" s="3"/>
      <c r="M79" s="4"/>
      <c r="N79" s="4"/>
      <c r="O79" s="4"/>
      <c r="P79" s="2">
        <f>'Generalized Data'!M149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</row>
    <row r="80" spans="1:90" x14ac:dyDescent="0.2">
      <c r="B80" t="str">
        <f>"C_ES-SC-HR_"&amp;RIGHT(C80,3)&amp;"02"</f>
        <v>C_ES-SC-HR_ELC02</v>
      </c>
      <c r="C80" t="s">
        <v>32</v>
      </c>
      <c r="D80" t="str">
        <f t="shared" si="6"/>
        <v>NR_ES-HR-SpCool</v>
      </c>
      <c r="E80">
        <f t="shared" si="7"/>
        <v>2011</v>
      </c>
      <c r="F80">
        <v>1</v>
      </c>
      <c r="G80" s="18">
        <f>'Generalized Data'!$C$3</f>
        <v>6.3071999999999999</v>
      </c>
      <c r="H80" s="4">
        <f>'Generalized Data'!C150</f>
        <v>7.5994827479999998</v>
      </c>
      <c r="I80" s="4">
        <f>'Generalized Data'!E150</f>
        <v>151.98965496</v>
      </c>
      <c r="J80" s="3">
        <f>'Generalized Data'!G150</f>
        <v>0.4</v>
      </c>
      <c r="K80" s="3"/>
      <c r="L80" s="3"/>
      <c r="M80" s="4"/>
      <c r="N80" s="4"/>
      <c r="O80" s="4"/>
      <c r="P80" s="2">
        <f>'Generalized Data'!M150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</row>
    <row r="81" spans="2:39" x14ac:dyDescent="0.2">
      <c r="B81" t="str">
        <f>"C_ES-SC-HR_"&amp;RIGHT(C81,3)&amp;"03"</f>
        <v>C_ES-SC-HR_ELC03</v>
      </c>
      <c r="C81" t="s">
        <v>32</v>
      </c>
      <c r="D81" t="str">
        <f t="shared" si="6"/>
        <v>NR_ES-HR-SpCool</v>
      </c>
      <c r="E81">
        <f t="shared" si="7"/>
        <v>2011</v>
      </c>
      <c r="F81">
        <v>1</v>
      </c>
      <c r="G81" s="18">
        <f>'Generalized Data'!$C$3</f>
        <v>6.3071999999999999</v>
      </c>
      <c r="H81" s="4">
        <f>'Generalized Data'!C151</f>
        <v>0.72955034380799999</v>
      </c>
      <c r="I81" s="4">
        <f>'Generalized Data'!E151</f>
        <v>91.193792975999997</v>
      </c>
      <c r="J81" s="3">
        <f>'Generalized Data'!G151</f>
        <v>3.1</v>
      </c>
      <c r="K81" s="3"/>
      <c r="L81" s="3"/>
      <c r="M81" s="4"/>
      <c r="N81" s="4"/>
      <c r="O81" s="4"/>
      <c r="P81" s="2">
        <f>'Generalized Data'!M151</f>
        <v>10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</row>
    <row r="82" spans="2:39" x14ac:dyDescent="0.2">
      <c r="B82" t="str">
        <f>"C_ES-SC-HR_"&amp;RIGHT(C82,3)&amp;"04"</f>
        <v>C_ES-SC-HR_ELC04</v>
      </c>
      <c r="C82" t="s">
        <v>32</v>
      </c>
      <c r="D82" t="str">
        <f t="shared" si="6"/>
        <v>NR_ES-HR-SpCool</v>
      </c>
      <c r="E82">
        <f t="shared" si="7"/>
        <v>2011</v>
      </c>
      <c r="F82">
        <v>1</v>
      </c>
      <c r="G82" s="18">
        <f>'Generalized Data'!$C$4</f>
        <v>31.536000000000001</v>
      </c>
      <c r="H82" s="4">
        <f>'Generalized Data'!C152</f>
        <v>2.6640000000000001</v>
      </c>
      <c r="I82" s="4">
        <f>'Generalized Data'!E152</f>
        <v>333</v>
      </c>
      <c r="J82" s="3">
        <f>'Generalized Data'!G152</f>
        <v>2.93</v>
      </c>
      <c r="K82" s="3"/>
      <c r="L82" s="3"/>
      <c r="M82" s="4"/>
      <c r="N82" s="4"/>
      <c r="O82" s="4"/>
      <c r="P82" s="2">
        <f>'Generalized Data'!M152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</row>
    <row r="83" spans="2:39" x14ac:dyDescent="0.2">
      <c r="B83" t="str">
        <f>"C_ES-SC-HR_"&amp;RIGHT(C83,3)&amp;"05"</f>
        <v>C_ES-SC-HR_ELC05</v>
      </c>
      <c r="C83" t="s">
        <v>32</v>
      </c>
      <c r="D83" t="str">
        <f t="shared" si="6"/>
        <v>NR_ES-HR-SpCool</v>
      </c>
      <c r="E83">
        <f t="shared" si="7"/>
        <v>2011</v>
      </c>
      <c r="F83">
        <v>1</v>
      </c>
      <c r="G83" s="18">
        <f>'Generalized Data'!$C$4</f>
        <v>31.536000000000001</v>
      </c>
      <c r="H83" s="4">
        <f>'Generalized Data'!C153</f>
        <v>2.1796442370559999</v>
      </c>
      <c r="I83" s="4">
        <f>'Generalized Data'!E153</f>
        <v>272.45552963199998</v>
      </c>
      <c r="J83" s="3">
        <f>'Generalized Data'!G153</f>
        <v>2.75</v>
      </c>
      <c r="K83" s="3"/>
      <c r="L83" s="3"/>
      <c r="M83" s="4"/>
      <c r="N83" s="4"/>
      <c r="O83" s="4"/>
      <c r="P83" s="2">
        <f>'Generalized Data'!M153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</row>
    <row r="84" spans="2:39" x14ac:dyDescent="0.2">
      <c r="B84" t="str">
        <f>"C_ES-SC-HR_"&amp;RIGHT(C84,3)&amp;"01"</f>
        <v>C_ES-SC-HR_GAS01</v>
      </c>
      <c r="C84" t="s">
        <v>35</v>
      </c>
      <c r="D84" t="str">
        <f t="shared" si="6"/>
        <v>NR_ES-HR-SpCool</v>
      </c>
      <c r="E84">
        <f t="shared" si="7"/>
        <v>2011</v>
      </c>
      <c r="F84">
        <v>1</v>
      </c>
      <c r="G84" s="18">
        <f>'Generalized Data'!$C$4</f>
        <v>31.536000000000001</v>
      </c>
      <c r="H84" s="4">
        <f>'Generalized Data'!C154</f>
        <v>97.048209315199998</v>
      </c>
      <c r="I84" s="4">
        <f>'Generalized Data'!E154</f>
        <v>1940.9641863039999</v>
      </c>
      <c r="J84" s="3">
        <f>'Generalized Data'!G154</f>
        <v>4.41</v>
      </c>
      <c r="K84" s="3"/>
      <c r="L84" s="3"/>
      <c r="M84" s="4"/>
      <c r="N84" s="4"/>
      <c r="O84" s="4"/>
      <c r="P84" s="2">
        <f>'Generalized Data'!M154</f>
        <v>15</v>
      </c>
      <c r="Q84" s="94">
        <v>2011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</row>
    <row r="85" spans="2:39" x14ac:dyDescent="0.2">
      <c r="B85" t="str">
        <f>"C_ES-SC-HR_"&amp;RIGHT(C85,3)&amp;"02"</f>
        <v>C_ES-SC-HR_GAS02</v>
      </c>
      <c r="C85" t="s">
        <v>35</v>
      </c>
      <c r="D85" t="str">
        <f t="shared" si="6"/>
        <v>NR_ES-HR-SpCool</v>
      </c>
      <c r="E85">
        <f t="shared" si="7"/>
        <v>2011</v>
      </c>
      <c r="F85">
        <v>1</v>
      </c>
      <c r="G85" s="18">
        <f>'Generalized Data'!$C$4</f>
        <v>31.536000000000001</v>
      </c>
      <c r="H85" s="4">
        <f>'Generalized Data'!C155</f>
        <v>69.127146774400003</v>
      </c>
      <c r="I85" s="4">
        <f>'Generalized Data'!E155</f>
        <v>1382.542935488</v>
      </c>
      <c r="J85" s="3">
        <f>'Generalized Data'!G155</f>
        <v>1.0349999999999999</v>
      </c>
      <c r="K85" s="3"/>
      <c r="L85" s="3"/>
      <c r="M85" s="4"/>
      <c r="N85" s="4"/>
      <c r="O85" s="4"/>
      <c r="P85" s="2">
        <f>'Generalized Data'!M155</f>
        <v>15</v>
      </c>
      <c r="Q85" s="94">
        <v>2011</v>
      </c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</row>
    <row r="86" spans="2:39" x14ac:dyDescent="0.2">
      <c r="G86" s="18"/>
      <c r="H86" s="4"/>
      <c r="I86" s="4"/>
      <c r="J86" s="3"/>
      <c r="K86" s="3"/>
      <c r="L86" s="3"/>
      <c r="M86" s="4"/>
      <c r="N86" s="4"/>
      <c r="O86" s="4"/>
      <c r="P86" s="2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</row>
    <row r="87" spans="2:39" x14ac:dyDescent="0.2">
      <c r="G87" s="18"/>
      <c r="H87" s="4"/>
      <c r="I87" s="4"/>
      <c r="J87" s="3"/>
      <c r="K87" s="3"/>
      <c r="L87" s="3"/>
      <c r="M87" s="4"/>
      <c r="N87" s="4"/>
      <c r="O87" s="4"/>
      <c r="P87" s="2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</row>
    <row r="88" spans="2:39" x14ac:dyDescent="0.2"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</row>
    <row r="89" spans="2:39" x14ac:dyDescent="0.2"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</row>
    <row r="90" spans="2:39" x14ac:dyDescent="0.2"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</row>
    <row r="91" spans="2:39" x14ac:dyDescent="0.2"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</row>
    <row r="92" spans="2:39" x14ac:dyDescent="0.2"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</row>
    <row r="93" spans="2:39" x14ac:dyDescent="0.2"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</row>
    <row r="94" spans="2:39" x14ac:dyDescent="0.2"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</row>
    <row r="95" spans="2:39" x14ac:dyDescent="0.2"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</row>
    <row r="96" spans="2:39" x14ac:dyDescent="0.2"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</row>
    <row r="97" spans="18:39" x14ac:dyDescent="0.2"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</row>
    <row r="98" spans="18:39" x14ac:dyDescent="0.2"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</row>
    <row r="99" spans="18:39" x14ac:dyDescent="0.2"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</row>
    <row r="100" spans="18:39" x14ac:dyDescent="0.2"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</row>
    <row r="101" spans="18:39" x14ac:dyDescent="0.2"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</row>
    <row r="102" spans="18:39" x14ac:dyDescent="0.2"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</row>
    <row r="103" spans="18:39" x14ac:dyDescent="0.2"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</row>
    <row r="104" spans="18:39" x14ac:dyDescent="0.2"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</row>
    <row r="105" spans="18:39" x14ac:dyDescent="0.2"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</row>
    <row r="106" spans="18:39" x14ac:dyDescent="0.2"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</row>
    <row r="107" spans="18:39" x14ac:dyDescent="0.2"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</row>
    <row r="108" spans="18:39" x14ac:dyDescent="0.2"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</row>
    <row r="109" spans="18:39" x14ac:dyDescent="0.2"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</row>
    <row r="110" spans="18:39" x14ac:dyDescent="0.2"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</row>
    <row r="111" spans="18:39" x14ac:dyDescent="0.2"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</row>
    <row r="112" spans="18:39" x14ac:dyDescent="0.2"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</row>
  </sheetData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CL91"/>
  <sheetViews>
    <sheetView zoomScale="70" zoomScaleNormal="70" workbookViewId="0">
      <selection activeCell="K19" sqref="K19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10" max="10" width="12" customWidth="1"/>
    <col min="11" max="12" width="10.28515625" customWidth="1"/>
  </cols>
  <sheetData>
    <row r="1" spans="1:90" x14ac:dyDescent="0.2">
      <c r="A1" s="6" t="s">
        <v>489</v>
      </c>
      <c r="G1" t="s">
        <v>230</v>
      </c>
    </row>
    <row r="2" spans="1:90" x14ac:dyDescent="0.2">
      <c r="A2" s="110" t="s">
        <v>488</v>
      </c>
      <c r="B2" s="98"/>
      <c r="C2" s="98"/>
      <c r="D2" s="98"/>
      <c r="E2" s="98"/>
    </row>
    <row r="3" spans="1:90" ht="14.25" x14ac:dyDescent="0.2">
      <c r="A3" s="111"/>
    </row>
    <row r="4" spans="1:90" x14ac:dyDescent="0.2">
      <c r="B4" s="1"/>
      <c r="F4" s="1" t="s">
        <v>385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CONCATENATE("CEFF~",AD7)</f>
        <v>CEFF~NR_ES-SR-WatHeat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CEFF~NR_ES-SR-SpCool</v>
      </c>
      <c r="S5" s="9" t="str">
        <f>CONCATENATE("CEFF~",AD6)</f>
        <v>CEFF~NR_ES-SR-SpHeat</v>
      </c>
      <c r="T5" s="9" t="str">
        <f>CONCATENATE("CEFF~",AD6,"~W")</f>
        <v>CEFF~NR_ES-SR-SpHeat~W</v>
      </c>
      <c r="U5" s="9" t="str">
        <f>CONCATENATE("CEFF~",AD6,"~R")</f>
        <v>CEFF~NR_ES-SR-SpHeat~R</v>
      </c>
      <c r="V5" s="9" t="str">
        <f>CONCATENATE("CEFF~",AD6,"~S")</f>
        <v>CEFF~NR_ES-SR-SpHeat~S</v>
      </c>
      <c r="W5" s="9" t="str">
        <f>CONCATENATE("CEFF~",AD6,"~F")</f>
        <v>CEFF~NR_ES-SR-SpHeat~F</v>
      </c>
      <c r="X5" s="9" t="str">
        <f>CONCATENATE("AFC~",AD6)</f>
        <v>AFC~NR_ES-SR-SpHeat</v>
      </c>
      <c r="Y5" s="9" t="str">
        <f>CONCATENATE("AFC~",AD8)</f>
        <v>AFC~NR_ES-SR-SpCool</v>
      </c>
      <c r="Z5" s="9" t="str">
        <f>CONCATENATE("Share-O~LO~",AD6)</f>
        <v>Share-O~LO~NR_ES-SR-SpHeat</v>
      </c>
      <c r="AA5" s="12" t="s">
        <v>386</v>
      </c>
      <c r="AB5" s="13" t="s">
        <v>387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"C_ES-SH-SR_"&amp;RIGHT(C6,3)&amp;"01"</f>
        <v>C_ES-SH-SR_ELC01</v>
      </c>
      <c r="C6" t="s">
        <v>32</v>
      </c>
      <c r="D6" t="str">
        <f>$AD$6</f>
        <v>NR_ES-SR-SpHeat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87"/>
      <c r="AB6" s="87"/>
      <c r="AD6" t="s">
        <v>420</v>
      </c>
    </row>
    <row r="7" spans="1:90" x14ac:dyDescent="0.2">
      <c r="B7" t="str">
        <f>"C_ES-SH-SR_"&amp;RIGHT(C7,3)&amp;"02"</f>
        <v>C_ES-SH-SR_ELC02</v>
      </c>
      <c r="C7" t="s">
        <v>32</v>
      </c>
      <c r="D7" t="str">
        <f>$AD$6</f>
        <v>NR_ES-SR-SpHeat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87"/>
      <c r="AB7" s="87"/>
      <c r="AD7" t="s">
        <v>421</v>
      </c>
    </row>
    <row r="8" spans="1:90" x14ac:dyDescent="0.2">
      <c r="B8" t="str">
        <f>"C_ES-SH-SR_"&amp;RIGHT(C8,3)&amp;"03"</f>
        <v>C_ES-SH-SR_ELC03</v>
      </c>
      <c r="C8" t="s">
        <v>32</v>
      </c>
      <c r="D8" t="str">
        <f>$AD$6</f>
        <v>NR_ES-SR-SpHeat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3" si="0">IF(I8="","",I8)</f>
        <v>14.4</v>
      </c>
      <c r="AB8" s="23">
        <f t="shared" ref="AB8:AB23" si="1">IF(K8="","",K8)</f>
        <v>720</v>
      </c>
      <c r="AD8" t="s">
        <v>422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"C_ES-SH-SR_"&amp;RIGHT(C10,3)&amp;"04"</f>
        <v>C_ES-SH-SR_ELC04</v>
      </c>
      <c r="C10" t="s">
        <v>32</v>
      </c>
      <c r="D10" t="str">
        <f>$AD$6</f>
        <v>NR_ES-SR-SpHeat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NR_ES-SR-SpCool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"C_ES-SH-SR_"&amp;RIGHT(C13,3)&amp;"05"</f>
        <v>C_ES-SH-SR_ELC05</v>
      </c>
      <c r="C13" t="s">
        <v>32</v>
      </c>
      <c r="D13" t="str">
        <f>$AD$6</f>
        <v>NR_ES-SR-SpHeat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NR_ES-SR-SpCool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"C_ES-SH-SR_"&amp;RIGHT(C16,3)&amp;"06"</f>
        <v>C_ES-SH-SR_ELC06</v>
      </c>
      <c r="C16" t="s">
        <v>32</v>
      </c>
      <c r="D16" t="str">
        <f>$AD$6</f>
        <v>NR_ES-SR-SpHeat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NR_ES-SR-SpCool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"C_ES-SH-SR_"&amp;RIGHT(C19,3)&amp;"07"</f>
        <v>C_ES-SH-SR_ELC07</v>
      </c>
      <c r="C19" t="s">
        <v>32</v>
      </c>
      <c r="D19" t="str">
        <f>$AD$6</f>
        <v>NR_ES-SR-SpHeat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NR_ES-SR-SpCool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"C_ES-SH-SR_"&amp;RIGHT(C22,3)&amp;"08"</f>
        <v>C_ES-SH-SR_ELC08</v>
      </c>
      <c r="C22" t="s">
        <v>32</v>
      </c>
      <c r="D22" t="str">
        <f>$AD$6</f>
        <v>NR_ES-SR-SpHeat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 t="shared" si="0"/>
        <v>43.2</v>
      </c>
      <c r="AB22" s="23">
        <f t="shared" si="1"/>
        <v>1080</v>
      </c>
    </row>
    <row r="23" spans="2:28" x14ac:dyDescent="0.2">
      <c r="D23" t="str">
        <f>$AD$8</f>
        <v>NR_ES-SR-SpCool</v>
      </c>
      <c r="H23" s="18"/>
      <c r="I23" s="4"/>
      <c r="K23" s="4"/>
      <c r="M23" s="3"/>
      <c r="N23" s="3"/>
      <c r="P23" s="2"/>
      <c r="Q23" s="2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/>
      <c r="AB24" s="23"/>
    </row>
    <row r="25" spans="2:28" x14ac:dyDescent="0.2">
      <c r="B25" t="str">
        <f>"C_ES-SH-SR_"&amp;RIGHT(C25,3)&amp;"01"</f>
        <v>C_ES-SH-SR_GAS01</v>
      </c>
      <c r="C25" t="s">
        <v>35</v>
      </c>
      <c r="D25" t="str">
        <f>$AD$6</f>
        <v>NR_ES-SR-SpHeat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"C_ES-SH-SR_"&amp;RIGHT(C26,3)&amp;"02"</f>
        <v>C_ES-SH-SR_GAS02</v>
      </c>
      <c r="C26" t="s">
        <v>35</v>
      </c>
      <c r="D26" t="str">
        <f>$AD$6</f>
        <v>NR_ES-SR-SpHeat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"C_ES-SH-SR_"&amp;RIGHT(C27,3)&amp;"03"</f>
        <v>C_ES-SH-SR_GAS03</v>
      </c>
      <c r="C27" t="s">
        <v>35</v>
      </c>
      <c r="D27" t="str">
        <f>$AD$6</f>
        <v>NR_ES-SR-SpHeat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>
        <f>'Generalized Data'!H$119</f>
        <v>0.66300000000000003</v>
      </c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NR_ES-SR-WatHeat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"C_ES-SH-SR_"&amp;RIGHT(C29,3)&amp;"04"</f>
        <v>C_ES-SH-SR_GAS04</v>
      </c>
      <c r="C29" t="s">
        <v>35</v>
      </c>
      <c r="D29" t="str">
        <f>$AD$6</f>
        <v>NR_ES-SR-SpHeat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"C_ES-SH-SR_"&amp;RIGHT(C30,3)&amp;"05"</f>
        <v>C_ES-SH-SR_GAS05</v>
      </c>
      <c r="C30" t="s">
        <v>35</v>
      </c>
      <c r="D30" t="str">
        <f>$AD$6</f>
        <v>NR_ES-SR-SpHeat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NR_ES-SR-WatHeat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>IF(I31="","",I31)</f>
        <v/>
      </c>
      <c r="AB31" s="23" t="str">
        <f>IF(K31="","",K31)</f>
        <v/>
      </c>
    </row>
    <row r="32" spans="2:28" x14ac:dyDescent="0.2">
      <c r="B32" t="str">
        <f>"C_ES-SH-SR_"&amp;RIGHT(C32,3)&amp;"06"</f>
        <v>C_ES-SH-SR_GAS06</v>
      </c>
      <c r="C32" t="s">
        <v>35</v>
      </c>
      <c r="D32" t="str">
        <f>$AD$6</f>
        <v>NR_ES-SR-SpHeat</v>
      </c>
      <c r="F32">
        <f>Q32</f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>IF(I32="","",I32)</f>
        <v>44.64</v>
      </c>
      <c r="AB32" s="23">
        <f>IF(K32="","",K32)</f>
        <v>1116</v>
      </c>
    </row>
    <row r="33" spans="2:28" x14ac:dyDescent="0.2">
      <c r="D33" t="str">
        <f>$AD$8</f>
        <v>NR_ES-SR-SpCool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>IF(I33="","",I33)</f>
        <v/>
      </c>
      <c r="AB33" s="23" t="str">
        <f>IF(K33="","",K33)</f>
        <v/>
      </c>
    </row>
    <row r="34" spans="2:28" x14ac:dyDescent="0.2">
      <c r="B34" t="str">
        <f>"C_ES-SH-SR_"&amp;RIGHT(C34,3)&amp;"07"</f>
        <v>C_ES-SH-SR_GAS07</v>
      </c>
      <c r="C34" t="s">
        <v>35</v>
      </c>
      <c r="D34" t="str">
        <f>$AD$6</f>
        <v>NR_ES-SR-SpHeat</v>
      </c>
      <c r="F34">
        <f>Q34</f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>IF(I34="","",I34)</f>
        <v>55.440000000000005</v>
      </c>
      <c r="AB34" s="23">
        <f>IF(K34="","",K34)</f>
        <v>1386</v>
      </c>
    </row>
    <row r="35" spans="2:28" x14ac:dyDescent="0.2">
      <c r="D35" t="str">
        <f>$AD$8</f>
        <v>NR_ES-SR-SpCool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>IF(I35="","",I35)</f>
        <v/>
      </c>
      <c r="AB35" s="23" t="str">
        <f>IF(K35="","",K35)</f>
        <v/>
      </c>
    </row>
    <row r="36" spans="2:28" x14ac:dyDescent="0.2">
      <c r="B36" t="str">
        <f>"C_ES-SH-SR_"&amp;RIGHT(C36,3)&amp;"01"</f>
        <v>C_ES-SH-SR_LPG01</v>
      </c>
      <c r="C36" t="s">
        <v>65</v>
      </c>
      <c r="D36" t="str">
        <f>$AD$6</f>
        <v>NR_ES-SR-SpHeat</v>
      </c>
      <c r="F36">
        <f>Q36</f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"C_ES-SH-SR_"&amp;RIGHT(C37,3)&amp;"02"</f>
        <v>C_ES-SH-SR_LPG02</v>
      </c>
      <c r="C37" t="s">
        <v>65</v>
      </c>
      <c r="D37" t="str">
        <f>$AD$6</f>
        <v>NR_ES-SR-SpHeat</v>
      </c>
      <c r="F37">
        <f>Q37</f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NR_ES-SR-WatHeat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>IF(I38="","",I38)</f>
        <v/>
      </c>
      <c r="AB38" s="23" t="str">
        <f>IF(K38="","",K38)</f>
        <v/>
      </c>
    </row>
    <row r="39" spans="2:28" x14ac:dyDescent="0.2">
      <c r="B39" t="str">
        <f>"C_ES-SH-SR_"&amp;RIGHT(C39,3)&amp;"03"</f>
        <v>C_ES-SH-SR_LPG03</v>
      </c>
      <c r="C39" t="s">
        <v>65</v>
      </c>
      <c r="D39" t="str">
        <f>$AD$6</f>
        <v>NR_ES-SR-SpHeat</v>
      </c>
      <c r="F39">
        <f>Q39</f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>IF(I39="","",I39)</f>
        <v>44.64</v>
      </c>
      <c r="AB39" s="23">
        <f>IF(K39="","",K39)</f>
        <v>1116</v>
      </c>
    </row>
    <row r="40" spans="2:28" x14ac:dyDescent="0.2">
      <c r="D40" t="str">
        <f>$AD$8</f>
        <v>NR_ES-SR-SpCool</v>
      </c>
      <c r="H40" s="18"/>
      <c r="I40" s="4"/>
      <c r="K40" s="4"/>
      <c r="M40" s="3"/>
      <c r="N40" s="3"/>
      <c r="P40" s="2"/>
      <c r="Q40" s="2"/>
      <c r="R40" s="78"/>
      <c r="S40" s="78"/>
      <c r="AA40" s="23"/>
      <c r="AB40" s="23"/>
    </row>
    <row r="41" spans="2:28" x14ac:dyDescent="0.2">
      <c r="B41" t="str">
        <f>"C_ES-SH-SR_"&amp;RIGHT(C41,3)&amp;"01"</f>
        <v>C_ES-SH-SR_HET01</v>
      </c>
      <c r="C41" t="s">
        <v>465</v>
      </c>
      <c r="D41" t="str">
        <f>$AD$6</f>
        <v>NR_ES-SR-SpHeat</v>
      </c>
      <c r="F41">
        <f>Q41</f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  <c r="AA41" s="23"/>
      <c r="AB41" s="23"/>
    </row>
    <row r="42" spans="2:28" x14ac:dyDescent="0.2">
      <c r="D42" t="str">
        <f>$AD$7</f>
        <v>NR_ES-SR-WatHeat</v>
      </c>
      <c r="H42" s="18"/>
      <c r="I42" s="4"/>
      <c r="K42" s="4"/>
      <c r="M42" s="3"/>
      <c r="N42" s="3"/>
      <c r="P42" s="2"/>
      <c r="Q42" s="2"/>
      <c r="AA42" s="23"/>
      <c r="AB42" s="23"/>
    </row>
    <row r="43" spans="2:28" x14ac:dyDescent="0.2">
      <c r="B43" t="str">
        <f>"C_ES-SH-SR_"&amp;RIGHT(C43,3)&amp;"01"</f>
        <v>C_ES-SH-SR_OIL01</v>
      </c>
      <c r="C43" t="s">
        <v>62</v>
      </c>
      <c r="D43" t="str">
        <f>$AD$6</f>
        <v>NR_ES-SR-SpHeat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  <c r="AA43" s="23"/>
      <c r="AB43" s="23"/>
    </row>
    <row r="44" spans="2:28" x14ac:dyDescent="0.2">
      <c r="B44" t="str">
        <f>"C_ES-SH-SR_"&amp;RIGHT(C44,3)&amp;"02"</f>
        <v>C_ES-SH-SR_OIL02</v>
      </c>
      <c r="C44" t="s">
        <v>62</v>
      </c>
      <c r="D44" t="str">
        <f>$AD$6</f>
        <v>NR_ES-SR-SpHeat</v>
      </c>
      <c r="F44">
        <f>Q44</f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  <c r="AA44" s="23"/>
      <c r="AB44" s="23"/>
    </row>
    <row r="45" spans="2:28" x14ac:dyDescent="0.2">
      <c r="D45" t="str">
        <f>$AD$7</f>
        <v>NR_ES-SR-WatHeat</v>
      </c>
      <c r="H45" s="18"/>
      <c r="I45" s="4"/>
      <c r="K45" s="4"/>
      <c r="M45" s="3"/>
      <c r="N45" s="3"/>
      <c r="P45" s="2"/>
      <c r="Q45" s="2"/>
      <c r="AA45" s="23"/>
      <c r="AB45" s="23"/>
    </row>
    <row r="46" spans="2:28" x14ac:dyDescent="0.2">
      <c r="B46" t="str">
        <f>"C_ES-SH-SR_"&amp;RIGHT(C46,3)&amp;"03"</f>
        <v>C_ES-SH-SR_OIL03</v>
      </c>
      <c r="C46" t="s">
        <v>62</v>
      </c>
      <c r="D46" t="str">
        <f>$AD$6</f>
        <v>NR_ES-SR-SpHeat</v>
      </c>
      <c r="F46">
        <f>Q46</f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Data'!H130</f>
        <v>0.38</v>
      </c>
      <c r="P46" s="2">
        <f>'Generalized Data'!M$130</f>
        <v>20</v>
      </c>
      <c r="Q46" s="94">
        <v>2011</v>
      </c>
      <c r="AA46" s="23"/>
      <c r="AB46" s="23"/>
    </row>
    <row r="47" spans="2:28" x14ac:dyDescent="0.2">
      <c r="D47" t="str">
        <f>$AD$7</f>
        <v>NR_ES-SR-WatHeat</v>
      </c>
      <c r="H47" s="18"/>
      <c r="I47" s="4"/>
      <c r="K47" s="4"/>
      <c r="M47" s="3"/>
      <c r="N47" s="3"/>
      <c r="P47" s="2"/>
      <c r="Q47" s="2"/>
      <c r="AA47" s="23"/>
      <c r="AB47" s="23"/>
    </row>
    <row r="48" spans="2:28" x14ac:dyDescent="0.2">
      <c r="B48" t="str">
        <f>"C_ES-SH-SR_"&amp;RIGHT(C48,3)&amp;"09"</f>
        <v>C_ES-SH-SR_ELC09</v>
      </c>
      <c r="C48" t="s">
        <v>32</v>
      </c>
      <c r="D48" t="str">
        <f>$AD$6</f>
        <v>NR_ES-SR-SpHeat</v>
      </c>
      <c r="F48">
        <f>Q48</f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Data'!H131</f>
        <v>1.0731707317073171</v>
      </c>
      <c r="P48" s="2">
        <f>'Generalized Data'!M$131</f>
        <v>20</v>
      </c>
      <c r="Q48" s="94">
        <v>2011</v>
      </c>
      <c r="R48" s="78"/>
      <c r="S48" s="78"/>
      <c r="T48" s="78"/>
      <c r="U48" s="78"/>
      <c r="V48" s="78"/>
      <c r="AA48" s="23"/>
      <c r="AB48" s="23"/>
    </row>
    <row r="49" spans="1:90" x14ac:dyDescent="0.2">
      <c r="C49" t="s">
        <v>63</v>
      </c>
      <c r="D49" t="str">
        <f>$AD$7</f>
        <v>NR_ES-SR-WatHeat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  <c r="R49" s="78"/>
      <c r="S49" s="78"/>
      <c r="T49" s="78"/>
      <c r="U49" s="78"/>
      <c r="V49" s="78"/>
      <c r="AA49" s="23"/>
      <c r="AB49" s="23"/>
    </row>
    <row r="50" spans="1:90" x14ac:dyDescent="0.2">
      <c r="B50" t="str">
        <f>"C_ES-SH-SR_"&amp;RIGHT(C50,3)&amp;"04"</f>
        <v>C_ES-SH-SR_OIL04</v>
      </c>
      <c r="C50" t="s">
        <v>62</v>
      </c>
      <c r="D50" t="str">
        <f>$AD$6</f>
        <v>NR_ES-SR-SpHeat</v>
      </c>
      <c r="F50">
        <f>Q50</f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Data'!H132</f>
        <v>0.65853658536585369</v>
      </c>
      <c r="P50" s="2">
        <f>'Generalized Data'!M$132</f>
        <v>20</v>
      </c>
      <c r="Q50" s="94">
        <v>2011</v>
      </c>
      <c r="R50" s="78"/>
      <c r="S50" s="78"/>
      <c r="T50" s="78"/>
      <c r="U50" s="78"/>
      <c r="V50" s="78"/>
      <c r="AA50" s="23"/>
      <c r="AB50" s="23"/>
    </row>
    <row r="51" spans="1:90" x14ac:dyDescent="0.2">
      <c r="C51" t="s">
        <v>63</v>
      </c>
      <c r="D51" t="str">
        <f>$AD$7</f>
        <v>NR_ES-SR-WatHeat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  <c r="R51" s="78"/>
      <c r="S51" s="78"/>
      <c r="T51" s="78"/>
      <c r="U51" s="78"/>
      <c r="V51" s="78"/>
      <c r="AA51" s="23"/>
      <c r="AB51" s="23"/>
    </row>
    <row r="52" spans="1:90" x14ac:dyDescent="0.2">
      <c r="B52" t="str">
        <f>"C_ES-SH-SR_"&amp;RIGHT(C52,3)&amp;"08"</f>
        <v>C_ES-SH-SR_GAS08</v>
      </c>
      <c r="C52" t="s">
        <v>35</v>
      </c>
      <c r="D52" t="str">
        <f>$AD$6</f>
        <v>NR_ES-SR-SpHeat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Data'!H133</f>
        <v>0.65853658536585369</v>
      </c>
      <c r="P52" s="2">
        <f>'Generalized Data'!M$133</f>
        <v>20</v>
      </c>
      <c r="Q52" s="94">
        <v>2011</v>
      </c>
      <c r="R52" s="78"/>
      <c r="S52" s="78"/>
      <c r="T52" s="78"/>
      <c r="U52" s="78"/>
      <c r="V52" s="78"/>
      <c r="AA52" s="23"/>
      <c r="AB52" s="23"/>
    </row>
    <row r="53" spans="1:90" x14ac:dyDescent="0.2">
      <c r="C53" t="s">
        <v>63</v>
      </c>
      <c r="D53" t="str">
        <f>$AD$7</f>
        <v>NR_ES-SR-WatHeat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  <c r="R53" s="78"/>
      <c r="S53" s="78"/>
      <c r="T53" s="78"/>
      <c r="U53" s="78"/>
      <c r="V53" s="78"/>
      <c r="AA53" s="23"/>
      <c r="AB53" s="23"/>
    </row>
    <row r="54" spans="1:90" x14ac:dyDescent="0.2">
      <c r="B54" t="str">
        <f>"C_ES-SH-SR_"&amp;RIGHT(C54,3)&amp;"01"</f>
        <v>C_ES-SH-SR_BIO01</v>
      </c>
      <c r="C54" t="s">
        <v>64</v>
      </c>
      <c r="D54" t="str">
        <f>$AD$6</f>
        <v>NR_ES-SR-SpHeat</v>
      </c>
      <c r="F54">
        <f>Q54</f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  <c r="R54" s="78"/>
      <c r="S54" s="78"/>
      <c r="T54" s="78"/>
      <c r="U54" s="78"/>
      <c r="V54" s="78"/>
      <c r="AA54" s="23"/>
      <c r="AB54" s="23"/>
    </row>
    <row r="55" spans="1:90" x14ac:dyDescent="0.2">
      <c r="D55" t="str">
        <f>$AD$7</f>
        <v>NR_ES-SR-WatHeat</v>
      </c>
      <c r="H55" s="18"/>
      <c r="I55" s="4"/>
      <c r="K55" s="4"/>
      <c r="M55" s="3"/>
      <c r="N55" s="3"/>
      <c r="P55" s="2"/>
      <c r="Q55" s="2"/>
      <c r="R55" s="78"/>
      <c r="S55" s="78"/>
      <c r="T55" s="78"/>
      <c r="U55" s="78"/>
      <c r="V55" s="78"/>
      <c r="AA55" s="23"/>
      <c r="AB55" s="23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463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CEFF~NR_ES-SR-WatHeat</v>
      </c>
      <c r="L59" s="9" t="str">
        <f>CONCATENATE("CEFF~",AD8)</f>
        <v>CEFF~NR_ES-SR-SpCool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33"/>
      <c r="AL59" s="33"/>
      <c r="AM59" s="33"/>
      <c r="AN59" s="33"/>
      <c r="AO59" s="33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"C_ES-WH-SR_"&amp;RIGHT(C60,3)&amp;"01"</f>
        <v>C_ES-WH-SR_BIO01</v>
      </c>
      <c r="C60" t="s">
        <v>64</v>
      </c>
      <c r="D60" t="str">
        <f>$AD$7</f>
        <v>NR_ES-SR-WatHeat</v>
      </c>
      <c r="E60">
        <f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</row>
    <row r="61" spans="1:90" x14ac:dyDescent="0.2">
      <c r="B61" t="str">
        <f>"C_ES-WH-SR_"&amp;RIGHT(C61,3)&amp;"01"</f>
        <v>C_ES-WH-SR_ELC01</v>
      </c>
      <c r="C61" t="s">
        <v>32</v>
      </c>
      <c r="D61" t="str">
        <f>$AD$7</f>
        <v>NR_ES-SR-WatHeat</v>
      </c>
      <c r="E61">
        <f t="shared" ref="E61:E72" si="2">Q61</f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</row>
    <row r="62" spans="1:90" x14ac:dyDescent="0.2">
      <c r="B62" t="str">
        <f>"C_ES-WH-SR_"&amp;RIGHT(C62,3)&amp;"02"</f>
        <v>C_ES-WH-SR_ELC02</v>
      </c>
      <c r="C62" t="s">
        <v>32</v>
      </c>
      <c r="D62" t="str">
        <f>$AD$7</f>
        <v>NR_ES-SR-WatHeat</v>
      </c>
      <c r="E62">
        <f t="shared" si="2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1:90" x14ac:dyDescent="0.2">
      <c r="B64" t="str">
        <f>"C_ES-WH-SR_"&amp;RIGHT(C64,3)&amp;"01"</f>
        <v>C_ES-WH-SR_GAS01</v>
      </c>
      <c r="C64" t="s">
        <v>35</v>
      </c>
      <c r="D64" t="str">
        <f>$AD$7</f>
        <v>NR_ES-SR-WatHeat</v>
      </c>
      <c r="E64">
        <f t="shared" si="2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1:90" x14ac:dyDescent="0.2">
      <c r="B65" t="str">
        <f>"C_ES-WH-SR_"&amp;RIGHT(C65,3)&amp;"01"</f>
        <v>C_ES-WH-SR_GEO01</v>
      </c>
      <c r="C65" t="s">
        <v>33</v>
      </c>
      <c r="D65" t="str">
        <f>$AD$7</f>
        <v>NR_ES-SR-WatHeat</v>
      </c>
      <c r="E65">
        <f t="shared" si="2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1:90" x14ac:dyDescent="0.2">
      <c r="B66" t="str">
        <f>"C_ES-WH-SR_"&amp;RIGHT(C66,3)&amp;"01"</f>
        <v>C_ES-WH-SR_LPG01</v>
      </c>
      <c r="C66" t="s">
        <v>65</v>
      </c>
      <c r="D66" t="str">
        <f>$AD$7</f>
        <v>NR_ES-SR-WatHeat</v>
      </c>
      <c r="E66">
        <f t="shared" si="2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1:90" x14ac:dyDescent="0.2">
      <c r="B67" t="str">
        <f>"C_ES-WH-SR_"&amp;RIGHT(C67,3)&amp;"01"</f>
        <v>C_ES-WH-SR_OIL01</v>
      </c>
      <c r="C67" t="s">
        <v>62</v>
      </c>
      <c r="D67" t="str">
        <f>$AD$7</f>
        <v>NR_ES-SR-WatHeat</v>
      </c>
      <c r="E67">
        <f t="shared" si="2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1:90" x14ac:dyDescent="0.2">
      <c r="B68" t="str">
        <f>"C_ES-WH-SR_"&amp;RIGHT(C68,3)&amp;"03"</f>
        <v>C_ES-WH-SR_ELC03</v>
      </c>
      <c r="C68" t="s">
        <v>32</v>
      </c>
      <c r="D68" t="str">
        <f>$AD$7</f>
        <v>NR_ES-SR-WatHeat</v>
      </c>
      <c r="E68">
        <f t="shared" si="2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1:90" x14ac:dyDescent="0.2">
      <c r="C69" t="s">
        <v>63</v>
      </c>
      <c r="G69" s="18"/>
      <c r="H69" s="4"/>
      <c r="I69" s="4"/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</row>
    <row r="70" spans="1:90" x14ac:dyDescent="0.2">
      <c r="B70" t="str">
        <f>"C_ES-WH-SR_"&amp;RIGHT(C70,3)&amp;"02"</f>
        <v>C_ES-WH-SR_OIL02</v>
      </c>
      <c r="C70" t="s">
        <v>62</v>
      </c>
      <c r="D70" t="str">
        <f>$AD$7</f>
        <v>NR_ES-SR-WatHeat</v>
      </c>
      <c r="E70">
        <f t="shared" si="2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</row>
    <row r="71" spans="1:90" x14ac:dyDescent="0.2">
      <c r="C71" t="s">
        <v>63</v>
      </c>
      <c r="G71" s="18"/>
      <c r="H71" s="4"/>
      <c r="I71" s="4"/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</row>
    <row r="72" spans="1:90" x14ac:dyDescent="0.2">
      <c r="B72" t="str">
        <f>"C_ES-WH-SR_"&amp;RIGHT(C72,3)&amp;"02"</f>
        <v>C_ES-WH-SR_GAS02</v>
      </c>
      <c r="C72" t="s">
        <v>35</v>
      </c>
      <c r="D72" t="str">
        <f>$AD$7</f>
        <v>NR_ES-SR-WatHeat</v>
      </c>
      <c r="E72">
        <f t="shared" si="2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</row>
    <row r="73" spans="1:90" x14ac:dyDescent="0.2">
      <c r="C73" t="s">
        <v>63</v>
      </c>
      <c r="G73" s="18"/>
      <c r="H73" s="4"/>
      <c r="I73" s="4"/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</row>
    <row r="74" spans="1:90" x14ac:dyDescent="0.2">
      <c r="G74" s="18"/>
      <c r="H74" s="4"/>
      <c r="I74" s="4"/>
      <c r="J74" s="3"/>
      <c r="K74" s="3"/>
      <c r="L74" s="3"/>
      <c r="N74" s="21"/>
      <c r="R74" s="112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</row>
    <row r="75" spans="1:90" x14ac:dyDescent="0.2">
      <c r="A75" s="6" t="s">
        <v>233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</row>
    <row r="76" spans="1:90" x14ac:dyDescent="0.2">
      <c r="B76" s="1"/>
      <c r="E76" s="1" t="s">
        <v>15</v>
      </c>
      <c r="G76" s="2"/>
      <c r="H76" s="5"/>
      <c r="I76" s="4"/>
      <c r="J76" s="3"/>
      <c r="K76" s="3"/>
      <c r="L76" s="3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</row>
    <row r="77" spans="1:90" ht="39" thickBot="1" x14ac:dyDescent="0.25">
      <c r="A77" s="7" t="s">
        <v>16</v>
      </c>
      <c r="B77" s="7" t="s">
        <v>17</v>
      </c>
      <c r="C77" s="8" t="s">
        <v>19</v>
      </c>
      <c r="D77" s="8" t="s">
        <v>20</v>
      </c>
      <c r="E77" s="8" t="s">
        <v>21</v>
      </c>
      <c r="F77" s="9" t="s">
        <v>463</v>
      </c>
      <c r="G77" s="10" t="s">
        <v>23</v>
      </c>
      <c r="H77" s="12" t="s">
        <v>24</v>
      </c>
      <c r="I77" s="13" t="s">
        <v>25</v>
      </c>
      <c r="J77" s="11" t="s">
        <v>258</v>
      </c>
      <c r="K77" s="9" t="str">
        <f>CONCATENATE("CEFF~",AD7)</f>
        <v>CEFF~NR_ES-SR-WatHeat</v>
      </c>
      <c r="L77" s="9" t="str">
        <f>CONCATENATE("CEFF~",AD8)</f>
        <v>CEFF~NR_ES-SR-SpCool</v>
      </c>
      <c r="M77" s="10" t="s">
        <v>27</v>
      </c>
      <c r="N77" s="10" t="s">
        <v>28</v>
      </c>
      <c r="O77" s="10" t="s">
        <v>227</v>
      </c>
      <c r="P77" s="10" t="s">
        <v>26</v>
      </c>
      <c r="Q77" s="10" t="s">
        <v>29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106"/>
      <c r="AJ77" s="107"/>
      <c r="AK77" s="33"/>
      <c r="AL77" s="33"/>
      <c r="AM77" s="33"/>
      <c r="AN77" s="33"/>
      <c r="AO77" s="33"/>
      <c r="AP77" s="33"/>
      <c r="AQ77" s="33"/>
      <c r="AR77" s="33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</row>
    <row r="78" spans="1:90" x14ac:dyDescent="0.2">
      <c r="B78" t="str">
        <f>"C_ES-SC-SR_"&amp;RIGHT(C78,3)&amp;"01"</f>
        <v>C_ES-SC-SR_ELC01</v>
      </c>
      <c r="C78" t="s">
        <v>32</v>
      </c>
      <c r="D78" t="str">
        <f t="shared" ref="D78:D84" si="3">$AD$8</f>
        <v>NR_ES-SR-SpCool</v>
      </c>
      <c r="E78">
        <f t="shared" ref="E78:E84" si="4">Q78</f>
        <v>2011</v>
      </c>
      <c r="F78">
        <v>1</v>
      </c>
      <c r="G78" s="18">
        <f>'Generalized Data'!$C$3</f>
        <v>6.3071999999999999</v>
      </c>
      <c r="H78" s="4">
        <f>'Generalized Data'!C149</f>
        <v>24.05</v>
      </c>
      <c r="I78" s="4">
        <f>'Generalized Data'!E149</f>
        <v>481</v>
      </c>
      <c r="J78" s="3">
        <f>'Generalized Data'!G149</f>
        <v>3</v>
      </c>
      <c r="K78" s="3"/>
      <c r="L78" s="3"/>
      <c r="M78" s="4"/>
      <c r="N78" s="4"/>
      <c r="O78" s="4"/>
      <c r="P78" s="2">
        <f>'Generalized Data'!M149</f>
        <v>10</v>
      </c>
      <c r="Q78" s="94">
        <v>2011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</row>
    <row r="79" spans="1:90" x14ac:dyDescent="0.2">
      <c r="B79" t="str">
        <f>"C_ES-SC-SR_"&amp;RIGHT(C79,3)&amp;"02"</f>
        <v>C_ES-SC-SR_ELC02</v>
      </c>
      <c r="C79" t="s">
        <v>32</v>
      </c>
      <c r="D79" t="str">
        <f t="shared" si="3"/>
        <v>NR_ES-SR-SpCool</v>
      </c>
      <c r="E79">
        <f t="shared" si="4"/>
        <v>2011</v>
      </c>
      <c r="F79">
        <v>1</v>
      </c>
      <c r="G79" s="18">
        <f>'Generalized Data'!$C$3</f>
        <v>6.3071999999999999</v>
      </c>
      <c r="H79" s="4">
        <f>'Generalized Data'!C150</f>
        <v>7.5994827479999998</v>
      </c>
      <c r="I79" s="4">
        <f>'Generalized Data'!E150</f>
        <v>151.98965496</v>
      </c>
      <c r="J79" s="3">
        <f>'Generalized Data'!G150</f>
        <v>0.4</v>
      </c>
      <c r="K79" s="3"/>
      <c r="L79" s="3"/>
      <c r="M79" s="4"/>
      <c r="N79" s="4"/>
      <c r="O79" s="4"/>
      <c r="P79" s="2">
        <f>'Generalized Data'!M150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</row>
    <row r="80" spans="1:90" x14ac:dyDescent="0.2">
      <c r="B80" t="str">
        <f>"C_ES-SC-SR_"&amp;RIGHT(C80,3)&amp;"03"</f>
        <v>C_ES-SC-SR_ELC03</v>
      </c>
      <c r="C80" t="s">
        <v>32</v>
      </c>
      <c r="D80" t="str">
        <f t="shared" si="3"/>
        <v>NR_ES-SR-SpCool</v>
      </c>
      <c r="E80">
        <f t="shared" si="4"/>
        <v>2011</v>
      </c>
      <c r="F80">
        <v>1</v>
      </c>
      <c r="G80" s="18">
        <f>'Generalized Data'!$C$3</f>
        <v>6.3071999999999999</v>
      </c>
      <c r="H80" s="4">
        <f>'Generalized Data'!C151</f>
        <v>0.72955034380799999</v>
      </c>
      <c r="I80" s="4">
        <f>'Generalized Data'!E151</f>
        <v>91.193792975999997</v>
      </c>
      <c r="J80" s="3">
        <f>'Generalized Data'!G151</f>
        <v>3.1</v>
      </c>
      <c r="K80" s="3"/>
      <c r="L80" s="3"/>
      <c r="M80" s="4"/>
      <c r="N80" s="4"/>
      <c r="O80" s="4"/>
      <c r="P80" s="2">
        <f>'Generalized Data'!M151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</row>
    <row r="81" spans="2:36" x14ac:dyDescent="0.2">
      <c r="B81" t="str">
        <f>"C_ES-SC-SR_"&amp;RIGHT(C81,3)&amp;"04"</f>
        <v>C_ES-SC-SR_ELC04</v>
      </c>
      <c r="C81" t="s">
        <v>32</v>
      </c>
      <c r="D81" t="str">
        <f t="shared" si="3"/>
        <v>NR_ES-SR-SpCool</v>
      </c>
      <c r="E81">
        <f t="shared" si="4"/>
        <v>2011</v>
      </c>
      <c r="F81">
        <v>1</v>
      </c>
      <c r="G81" s="18">
        <f>'Generalized Data'!$C$4</f>
        <v>31.536000000000001</v>
      </c>
      <c r="H81" s="4">
        <f>'Generalized Data'!C152</f>
        <v>2.6640000000000001</v>
      </c>
      <c r="I81" s="4">
        <f>'Generalized Data'!E152</f>
        <v>333</v>
      </c>
      <c r="J81" s="3">
        <f>'Generalized Data'!G152</f>
        <v>2.93</v>
      </c>
      <c r="K81" s="3"/>
      <c r="L81" s="3"/>
      <c r="M81" s="4"/>
      <c r="N81" s="4"/>
      <c r="O81" s="4"/>
      <c r="P81" s="2">
        <f>'Generalized Data'!M152</f>
        <v>15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</row>
    <row r="82" spans="2:36" x14ac:dyDescent="0.2">
      <c r="B82" t="str">
        <f>"C_ES-SC-SR_"&amp;RIGHT(C82,3)&amp;"05"</f>
        <v>C_ES-SC-SR_ELC05</v>
      </c>
      <c r="C82" t="s">
        <v>32</v>
      </c>
      <c r="D82" t="str">
        <f t="shared" si="3"/>
        <v>NR_ES-SR-SpCool</v>
      </c>
      <c r="E82">
        <f t="shared" si="4"/>
        <v>2011</v>
      </c>
      <c r="F82">
        <v>1</v>
      </c>
      <c r="G82" s="18">
        <f>'Generalized Data'!$C$4</f>
        <v>31.536000000000001</v>
      </c>
      <c r="H82" s="4">
        <f>'Generalized Data'!C153</f>
        <v>2.1796442370559999</v>
      </c>
      <c r="I82" s="4">
        <f>'Generalized Data'!E153</f>
        <v>272.45552963199998</v>
      </c>
      <c r="J82" s="3">
        <f>'Generalized Data'!G153</f>
        <v>2.75</v>
      </c>
      <c r="K82" s="3"/>
      <c r="L82" s="3"/>
      <c r="M82" s="4"/>
      <c r="N82" s="4"/>
      <c r="O82" s="4"/>
      <c r="P82" s="2">
        <f>'Generalized Data'!M153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</row>
    <row r="83" spans="2:36" x14ac:dyDescent="0.2">
      <c r="B83" t="str">
        <f>"C_ES-SC-SR_"&amp;RIGHT(C83,3)&amp;"01"</f>
        <v>C_ES-SC-SR_GAS01</v>
      </c>
      <c r="C83" t="s">
        <v>35</v>
      </c>
      <c r="D83" t="str">
        <f t="shared" si="3"/>
        <v>NR_ES-SR-SpCool</v>
      </c>
      <c r="E83">
        <f t="shared" si="4"/>
        <v>2011</v>
      </c>
      <c r="F83">
        <v>1</v>
      </c>
      <c r="G83" s="18">
        <f>'Generalized Data'!$C$4</f>
        <v>31.536000000000001</v>
      </c>
      <c r="H83" s="4">
        <f>'Generalized Data'!C154</f>
        <v>97.048209315199998</v>
      </c>
      <c r="I83" s="4">
        <f>'Generalized Data'!E154</f>
        <v>1940.9641863039999</v>
      </c>
      <c r="J83" s="3">
        <f>'Generalized Data'!G154</f>
        <v>4.41</v>
      </c>
      <c r="K83" s="3"/>
      <c r="L83" s="3"/>
      <c r="M83" s="4"/>
      <c r="N83" s="4"/>
      <c r="O83" s="4"/>
      <c r="P83" s="2">
        <f>'Generalized Data'!M154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</row>
    <row r="84" spans="2:36" x14ac:dyDescent="0.2">
      <c r="B84" t="str">
        <f>"C_ES-SC-SR_"&amp;RIGHT(C84,3)&amp;"02"</f>
        <v>C_ES-SC-SR_GAS02</v>
      </c>
      <c r="C84" t="s">
        <v>35</v>
      </c>
      <c r="D84" t="str">
        <f t="shared" si="3"/>
        <v>NR_ES-SR-SpCool</v>
      </c>
      <c r="E84">
        <f t="shared" si="4"/>
        <v>2011</v>
      </c>
      <c r="F84">
        <v>1</v>
      </c>
      <c r="G84" s="18">
        <f>'Generalized Data'!$C$4</f>
        <v>31.536000000000001</v>
      </c>
      <c r="H84" s="4">
        <f>'Generalized Data'!C155</f>
        <v>69.127146774400003</v>
      </c>
      <c r="I84" s="4">
        <f>'Generalized Data'!E155</f>
        <v>1382.542935488</v>
      </c>
      <c r="J84" s="3">
        <f>'Generalized Data'!G155</f>
        <v>1.0349999999999999</v>
      </c>
      <c r="K84" s="3"/>
      <c r="L84" s="3"/>
      <c r="M84" s="4"/>
      <c r="N84" s="4"/>
      <c r="O84" s="4"/>
      <c r="P84" s="2">
        <f>'Generalized Data'!M155</f>
        <v>15</v>
      </c>
      <c r="Q84" s="94">
        <v>2011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</row>
    <row r="85" spans="2:36" x14ac:dyDescent="0.2">
      <c r="G85" s="18"/>
      <c r="H85" s="4"/>
      <c r="I85" s="4"/>
      <c r="J85" s="3"/>
      <c r="K85" s="3"/>
      <c r="L85" s="3"/>
      <c r="M85" s="4"/>
      <c r="N85" s="4"/>
      <c r="O85" s="4"/>
      <c r="P85" s="2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</row>
    <row r="86" spans="2:36" x14ac:dyDescent="0.2">
      <c r="G86" s="18"/>
      <c r="H86" s="4"/>
      <c r="I86" s="4"/>
      <c r="J86" s="3"/>
      <c r="K86" s="3"/>
      <c r="L86" s="3"/>
      <c r="M86" s="4"/>
      <c r="N86" s="4"/>
      <c r="O86" s="4"/>
      <c r="P86" s="2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</row>
    <row r="87" spans="2:36" x14ac:dyDescent="0.2"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</row>
    <row r="88" spans="2:36" x14ac:dyDescent="0.2"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</row>
    <row r="89" spans="2:36" x14ac:dyDescent="0.2"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</row>
    <row r="90" spans="2:36" x14ac:dyDescent="0.2"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</row>
    <row r="91" spans="2:36" x14ac:dyDescent="0.2"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</row>
  </sheetData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CL95"/>
  <sheetViews>
    <sheetView zoomScale="50" zoomScaleNormal="50" workbookViewId="0">
      <selection activeCell="AI85" sqref="AI85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10" max="10" width="12" customWidth="1"/>
    <col min="11" max="12" width="10.28515625" customWidth="1"/>
  </cols>
  <sheetData>
    <row r="1" spans="1:90" x14ac:dyDescent="0.2">
      <c r="A1" s="6" t="s">
        <v>490</v>
      </c>
      <c r="G1" t="s">
        <v>230</v>
      </c>
    </row>
    <row r="2" spans="1:90" x14ac:dyDescent="0.2">
      <c r="A2" s="110" t="s">
        <v>488</v>
      </c>
      <c r="B2" s="98"/>
      <c r="C2" s="98"/>
      <c r="D2" s="98"/>
      <c r="E2" s="98"/>
    </row>
    <row r="3" spans="1:90" ht="14.25" x14ac:dyDescent="0.2">
      <c r="A3" s="111"/>
    </row>
    <row r="4" spans="1:90" x14ac:dyDescent="0.2">
      <c r="B4" s="1"/>
      <c r="F4" s="1" t="s">
        <v>385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CONCATENATE("CEFF~",AD7)</f>
        <v>CEFF~NR_ES-SL-WatHeat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CEFF~NR_ES-SL-SpCool</v>
      </c>
      <c r="S5" s="9" t="str">
        <f>CONCATENATE("CEFF~",AD6)</f>
        <v>CEFF~NR_ES-SL-SpHeat</v>
      </c>
      <c r="T5" s="9" t="str">
        <f>CONCATENATE("CEFF~",AD6,"~W")</f>
        <v>CEFF~NR_ES-SL-SpHeat~W</v>
      </c>
      <c r="U5" s="9" t="str">
        <f>CONCATENATE("CEFF~",AD6,"~R")</f>
        <v>CEFF~NR_ES-SL-SpHeat~R</v>
      </c>
      <c r="V5" s="9" t="str">
        <f>CONCATENATE("CEFF~",AD6,"~S")</f>
        <v>CEFF~NR_ES-SL-SpHeat~S</v>
      </c>
      <c r="W5" s="9" t="str">
        <f>CONCATENATE("CEFF~",AD6,"~F")</f>
        <v>CEFF~NR_ES-SL-SpHeat~F</v>
      </c>
      <c r="X5" s="9" t="str">
        <f>CONCATENATE("AFC~",AD6)</f>
        <v>AFC~NR_ES-SL-SpHeat</v>
      </c>
      <c r="Y5" s="9" t="str">
        <f>CONCATENATE("AFC~",AD8)</f>
        <v>AFC~NR_ES-SL-SpCool</v>
      </c>
      <c r="Z5" s="9" t="str">
        <f>CONCATENATE("Share-O~LO~",AD6)</f>
        <v>Share-O~LO~NR_ES-SL-SpHeat</v>
      </c>
      <c r="AA5" s="12" t="s">
        <v>386</v>
      </c>
      <c r="AB5" s="13" t="s">
        <v>387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"C_ES-SH-SL_"&amp;RIGHT(C6,3)&amp;"01"</f>
        <v>C_ES-SH-SL_ELC01</v>
      </c>
      <c r="C6" t="s">
        <v>32</v>
      </c>
      <c r="D6" t="str">
        <f>$AD$6</f>
        <v>NR_ES-SL-SpHeat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87"/>
      <c r="AB6" s="87"/>
      <c r="AD6" t="s">
        <v>424</v>
      </c>
    </row>
    <row r="7" spans="1:90" x14ac:dyDescent="0.2">
      <c r="B7" t="str">
        <f>"C_ES-SH-SL_"&amp;RIGHT(C7,3)&amp;"02"</f>
        <v>C_ES-SH-SL_ELC02</v>
      </c>
      <c r="C7" t="s">
        <v>32</v>
      </c>
      <c r="D7" t="str">
        <f>$AD$6</f>
        <v>NR_ES-SL-SpHeat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87"/>
      <c r="AB7" s="87"/>
      <c r="AD7" t="s">
        <v>425</v>
      </c>
    </row>
    <row r="8" spans="1:90" x14ac:dyDescent="0.2">
      <c r="B8" t="str">
        <f>"C_ES-SH-SL_"&amp;RIGHT(C8,3)&amp;"03"</f>
        <v>C_ES-SH-SL_ELC03</v>
      </c>
      <c r="C8" t="s">
        <v>32</v>
      </c>
      <c r="D8" t="str">
        <f>$AD$6</f>
        <v>NR_ES-SL-SpHeat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3" si="0">IF(I8="","",I8)</f>
        <v>14.4</v>
      </c>
      <c r="AB8" s="23">
        <f t="shared" ref="AB8:AB23" si="1">IF(K8="","",K8)</f>
        <v>720</v>
      </c>
      <c r="AD8" t="s">
        <v>426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"C_ES-SH-SL_"&amp;RIGHT(C10,3)&amp;"04"</f>
        <v>C_ES-SH-SL_ELC04</v>
      </c>
      <c r="C10" t="s">
        <v>32</v>
      </c>
      <c r="D10" t="str">
        <f>$AD$6</f>
        <v>NR_ES-SL-SpHeat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NR_ES-SL-SpCool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"C_ES-SH-SL_"&amp;RIGHT(C13,3)&amp;"05"</f>
        <v>C_ES-SH-SL_ELC05</v>
      </c>
      <c r="C13" t="s">
        <v>32</v>
      </c>
      <c r="D13" t="str">
        <f>$AD$6</f>
        <v>NR_ES-SL-SpHeat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NR_ES-SL-SpCool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"C_ES-SH-SL_"&amp;RIGHT(C16,3)&amp;"06"</f>
        <v>C_ES-SH-SL_ELC06</v>
      </c>
      <c r="C16" t="s">
        <v>32</v>
      </c>
      <c r="D16" t="str">
        <f>$AD$6</f>
        <v>NR_ES-SL-SpHeat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NR_ES-SL-SpCool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"C_ES-SH-SL_"&amp;RIGHT(C19,3)&amp;"07"</f>
        <v>C_ES-SH-SL_ELC07</v>
      </c>
      <c r="C19" t="s">
        <v>32</v>
      </c>
      <c r="D19" t="str">
        <f>$AD$6</f>
        <v>NR_ES-SL-SpHeat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NR_ES-SL-SpCool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"C_ES-SH-SL_"&amp;RIGHT(C22,3)&amp;"08"</f>
        <v>C_ES-SH-SL_ELC08</v>
      </c>
      <c r="C22" t="s">
        <v>32</v>
      </c>
      <c r="D22" t="str">
        <f>$AD$6</f>
        <v>NR_ES-SL-SpHeat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 t="shared" si="0"/>
        <v>43.2</v>
      </c>
      <c r="AB22" s="23">
        <f t="shared" si="1"/>
        <v>1080</v>
      </c>
    </row>
    <row r="23" spans="2:28" x14ac:dyDescent="0.2">
      <c r="D23" t="str">
        <f>$AD$8</f>
        <v>NR_ES-SL-SpCool</v>
      </c>
      <c r="H23" s="18"/>
      <c r="I23" s="4"/>
      <c r="K23" s="4"/>
      <c r="M23" s="3"/>
      <c r="N23" s="3"/>
      <c r="P23" s="2"/>
      <c r="Q23" s="2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/>
      <c r="AB24" s="23"/>
    </row>
    <row r="25" spans="2:28" x14ac:dyDescent="0.2">
      <c r="B25" t="str">
        <f>"C_ES-SH-SL_"&amp;RIGHT(C25,3)&amp;"01"</f>
        <v>C_ES-SH-SL_GAS01</v>
      </c>
      <c r="C25" t="s">
        <v>35</v>
      </c>
      <c r="D25" t="str">
        <f>$AD$6</f>
        <v>NR_ES-SL-SpHeat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"C_ES-SH-SL_"&amp;RIGHT(C26,3)&amp;"02"</f>
        <v>C_ES-SH-SL_GAS02</v>
      </c>
      <c r="C26" t="s">
        <v>35</v>
      </c>
      <c r="D26" t="str">
        <f>$AD$6</f>
        <v>NR_ES-SL-SpHeat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"C_ES-SH-SL_"&amp;RIGHT(C27,3)&amp;"03"</f>
        <v>C_ES-SH-SL_GAS03</v>
      </c>
      <c r="C27" t="s">
        <v>35</v>
      </c>
      <c r="D27" t="str">
        <f>$AD$6</f>
        <v>NR_ES-SL-SpHeat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>
        <f>'Generalized Data'!H$119</f>
        <v>0.66300000000000003</v>
      </c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NR_ES-SL-WatHeat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"C_ES-SH-SL_"&amp;RIGHT(C29,3)&amp;"04"</f>
        <v>C_ES-SH-SL_GAS04</v>
      </c>
      <c r="C29" t="s">
        <v>35</v>
      </c>
      <c r="D29" t="str">
        <f>$AD$6</f>
        <v>NR_ES-SL-SpHeat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"C_ES-SH-SL_"&amp;RIGHT(C30,3)&amp;"05"</f>
        <v>C_ES-SH-SL_GAS05</v>
      </c>
      <c r="C30" t="s">
        <v>35</v>
      </c>
      <c r="D30" t="str">
        <f>$AD$6</f>
        <v>NR_ES-SL-SpHeat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NR_ES-SL-WatHeat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>IF(I31="","",I31)</f>
        <v/>
      </c>
      <c r="AB31" s="23" t="str">
        <f>IF(K31="","",K31)</f>
        <v/>
      </c>
    </row>
    <row r="32" spans="2:28" x14ac:dyDescent="0.2">
      <c r="B32" t="str">
        <f>"C_ES-SH-SL_"&amp;RIGHT(C32,3)&amp;"06"</f>
        <v>C_ES-SH-SL_GAS06</v>
      </c>
      <c r="C32" t="s">
        <v>35</v>
      </c>
      <c r="D32" t="str">
        <f>$AD$6</f>
        <v>NR_ES-SL-SpHeat</v>
      </c>
      <c r="F32">
        <f>Q32</f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>IF(I32="","",I32)</f>
        <v>44.64</v>
      </c>
      <c r="AB32" s="23">
        <f>IF(K32="","",K32)</f>
        <v>1116</v>
      </c>
    </row>
    <row r="33" spans="2:28" x14ac:dyDescent="0.2">
      <c r="D33" t="str">
        <f>$AD$8</f>
        <v>NR_ES-SL-SpCool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>IF(I33="","",I33)</f>
        <v/>
      </c>
      <c r="AB33" s="23" t="str">
        <f>IF(K33="","",K33)</f>
        <v/>
      </c>
    </row>
    <row r="34" spans="2:28" x14ac:dyDescent="0.2">
      <c r="B34" t="str">
        <f>"C_ES-SH-SL_"&amp;RIGHT(C34,3)&amp;"07"</f>
        <v>C_ES-SH-SL_GAS07</v>
      </c>
      <c r="C34" t="s">
        <v>35</v>
      </c>
      <c r="D34" t="str">
        <f>$AD$6</f>
        <v>NR_ES-SL-SpHeat</v>
      </c>
      <c r="F34">
        <f>Q34</f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>IF(I34="","",I34)</f>
        <v>55.440000000000005</v>
      </c>
      <c r="AB34" s="23">
        <f>IF(K34="","",K34)</f>
        <v>1386</v>
      </c>
    </row>
    <row r="35" spans="2:28" x14ac:dyDescent="0.2">
      <c r="D35" t="str">
        <f>$AD$8</f>
        <v>NR_ES-SL-SpCool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>IF(I35="","",I35)</f>
        <v/>
      </c>
      <c r="AB35" s="23" t="str">
        <f>IF(K35="","",K35)</f>
        <v/>
      </c>
    </row>
    <row r="36" spans="2:28" x14ac:dyDescent="0.2">
      <c r="B36" t="str">
        <f>"C_ES-SH-SL_"&amp;RIGHT(C36,3)&amp;"01"</f>
        <v>C_ES-SH-SL_LPG01</v>
      </c>
      <c r="C36" t="s">
        <v>65</v>
      </c>
      <c r="D36" t="str">
        <f>$AD$6</f>
        <v>NR_ES-SL-SpHeat</v>
      </c>
      <c r="F36">
        <f>Q36</f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"C_ES-SH-SL_"&amp;RIGHT(C37,3)&amp;"02"</f>
        <v>C_ES-SH-SL_LPG02</v>
      </c>
      <c r="C37" t="s">
        <v>65</v>
      </c>
      <c r="D37" t="str">
        <f>$AD$6</f>
        <v>NR_ES-SL-SpHeat</v>
      </c>
      <c r="F37">
        <f>Q37</f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NR_ES-SL-WatHeat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>IF(I38="","",I38)</f>
        <v/>
      </c>
      <c r="AB38" s="23" t="str">
        <f>IF(K38="","",K38)</f>
        <v/>
      </c>
    </row>
    <row r="39" spans="2:28" x14ac:dyDescent="0.2">
      <c r="B39" t="str">
        <f>"C_ES-SH-SL_"&amp;RIGHT(C39,3)&amp;"03"</f>
        <v>C_ES-SH-SL_LPG03</v>
      </c>
      <c r="C39" t="s">
        <v>65</v>
      </c>
      <c r="D39" t="str">
        <f>$AD$6</f>
        <v>NR_ES-SL-SpHeat</v>
      </c>
      <c r="F39">
        <f>Q39</f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>IF(I39="","",I39)</f>
        <v>44.64</v>
      </c>
      <c r="AB39" s="23">
        <f>IF(K39="","",K39)</f>
        <v>1116</v>
      </c>
    </row>
    <row r="40" spans="2:28" x14ac:dyDescent="0.2">
      <c r="D40" t="str">
        <f>$AD$8</f>
        <v>NR_ES-SL-SpCool</v>
      </c>
      <c r="H40" s="18"/>
      <c r="I40" s="4"/>
      <c r="K40" s="4"/>
      <c r="M40" s="3"/>
      <c r="N40" s="3"/>
      <c r="P40" s="2"/>
      <c r="Q40" s="2"/>
      <c r="R40" s="78"/>
      <c r="S40" s="78"/>
      <c r="AA40" s="23"/>
      <c r="AB40" s="23"/>
    </row>
    <row r="41" spans="2:28" x14ac:dyDescent="0.2">
      <c r="B41" t="str">
        <f>"C_ES-SH-SL_"&amp;RIGHT(C41,3)&amp;"01"</f>
        <v>C_ES-SH-SL_HET01</v>
      </c>
      <c r="C41" t="s">
        <v>465</v>
      </c>
      <c r="D41" t="str">
        <f>$AD$6</f>
        <v>NR_ES-SL-SpHeat</v>
      </c>
      <c r="F41">
        <f>Q41</f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  <c r="AA41" s="23"/>
      <c r="AB41" s="23"/>
    </row>
    <row r="42" spans="2:28" x14ac:dyDescent="0.2">
      <c r="D42" t="str">
        <f>$AD$7</f>
        <v>NR_ES-SL-WatHeat</v>
      </c>
      <c r="H42" s="18"/>
      <c r="I42" s="4"/>
      <c r="K42" s="4"/>
      <c r="M42" s="3"/>
      <c r="N42" s="3"/>
      <c r="P42" s="2"/>
      <c r="Q42" s="2"/>
      <c r="AA42" s="23"/>
      <c r="AB42" s="23"/>
    </row>
    <row r="43" spans="2:28" x14ac:dyDescent="0.2">
      <c r="B43" t="str">
        <f>"C_ES-SH-SL_"&amp;RIGHT(C43,3)&amp;"01"</f>
        <v>C_ES-SH-SL_OIL01</v>
      </c>
      <c r="C43" t="s">
        <v>62</v>
      </c>
      <c r="D43" t="str">
        <f>$AD$6</f>
        <v>NR_ES-SL-SpHeat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  <c r="AA43" s="23"/>
      <c r="AB43" s="23"/>
    </row>
    <row r="44" spans="2:28" x14ac:dyDescent="0.2">
      <c r="B44" t="str">
        <f>"C_ES-SH-SL_"&amp;RIGHT(C44,3)&amp;"02"</f>
        <v>C_ES-SH-SL_OIL02</v>
      </c>
      <c r="C44" t="s">
        <v>62</v>
      </c>
      <c r="D44" t="str">
        <f>$AD$6</f>
        <v>NR_ES-SL-SpHeat</v>
      </c>
      <c r="F44">
        <f>Q44</f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  <c r="AA44" s="23"/>
      <c r="AB44" s="23"/>
    </row>
    <row r="45" spans="2:28" x14ac:dyDescent="0.2">
      <c r="D45" t="str">
        <f>$AD$7</f>
        <v>NR_ES-SL-WatHeat</v>
      </c>
      <c r="H45" s="18"/>
      <c r="I45" s="4"/>
      <c r="K45" s="4"/>
      <c r="M45" s="3"/>
      <c r="N45" s="3"/>
      <c r="P45" s="2"/>
      <c r="Q45" s="2"/>
      <c r="AA45" s="23"/>
      <c r="AB45" s="23"/>
    </row>
    <row r="46" spans="2:28" x14ac:dyDescent="0.2">
      <c r="B46" t="str">
        <f>"C_ES-SH-SL_"&amp;RIGHT(C46,3)&amp;"03"</f>
        <v>C_ES-SH-SL_OIL03</v>
      </c>
      <c r="C46" t="s">
        <v>62</v>
      </c>
      <c r="D46" t="str">
        <f>$AD$6</f>
        <v>NR_ES-SL-SpHeat</v>
      </c>
      <c r="F46">
        <f>Q46</f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Data'!H130</f>
        <v>0.38</v>
      </c>
      <c r="P46" s="2">
        <f>'Generalized Data'!M$130</f>
        <v>20</v>
      </c>
      <c r="Q46" s="94">
        <v>2011</v>
      </c>
      <c r="AA46" s="23"/>
      <c r="AB46" s="23"/>
    </row>
    <row r="47" spans="2:28" x14ac:dyDescent="0.2">
      <c r="D47" t="str">
        <f>$AD$7</f>
        <v>NR_ES-SL-WatHeat</v>
      </c>
      <c r="H47" s="18"/>
      <c r="I47" s="4"/>
      <c r="K47" s="4"/>
      <c r="M47" s="3"/>
      <c r="N47" s="3"/>
      <c r="P47" s="2"/>
      <c r="Q47" s="2"/>
      <c r="AA47" s="23"/>
      <c r="AB47" s="23"/>
    </row>
    <row r="48" spans="2:28" x14ac:dyDescent="0.2">
      <c r="B48" t="str">
        <f>"C_ES-SH-SL_"&amp;RIGHT(C48,3)&amp;"09"</f>
        <v>C_ES-SH-SL_ELC09</v>
      </c>
      <c r="C48" t="s">
        <v>32</v>
      </c>
      <c r="D48" t="str">
        <f>$AD$6</f>
        <v>NR_ES-SL-SpHeat</v>
      </c>
      <c r="F48">
        <f>Q48</f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Data'!H131</f>
        <v>1.0731707317073171</v>
      </c>
      <c r="P48" s="2">
        <f>'Generalized Data'!M$131</f>
        <v>20</v>
      </c>
      <c r="Q48" s="94">
        <v>2011</v>
      </c>
      <c r="R48" s="78"/>
      <c r="S48" s="78"/>
      <c r="T48" s="78"/>
      <c r="U48" s="78"/>
      <c r="V48" s="78"/>
      <c r="AA48" s="23"/>
      <c r="AB48" s="23"/>
    </row>
    <row r="49" spans="1:90" x14ac:dyDescent="0.2">
      <c r="C49" t="s">
        <v>63</v>
      </c>
      <c r="D49" t="str">
        <f>$AD$7</f>
        <v>NR_ES-SL-WatHeat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  <c r="R49" s="78"/>
      <c r="S49" s="78"/>
      <c r="T49" s="78"/>
      <c r="U49" s="78"/>
      <c r="V49" s="78"/>
      <c r="AA49" s="23"/>
      <c r="AB49" s="23"/>
    </row>
    <row r="50" spans="1:90" x14ac:dyDescent="0.2">
      <c r="B50" t="str">
        <f>"C_ES-SH-SL_"&amp;RIGHT(C50,3)&amp;"04"</f>
        <v>C_ES-SH-SL_OIL04</v>
      </c>
      <c r="C50" t="s">
        <v>62</v>
      </c>
      <c r="D50" t="str">
        <f>$AD$6</f>
        <v>NR_ES-SL-SpHeat</v>
      </c>
      <c r="F50">
        <f>Q50</f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Data'!H132</f>
        <v>0.65853658536585369</v>
      </c>
      <c r="P50" s="2">
        <f>'Generalized Data'!M$132</f>
        <v>20</v>
      </c>
      <c r="Q50" s="94">
        <v>2011</v>
      </c>
      <c r="R50" s="78"/>
      <c r="S50" s="78"/>
      <c r="T50" s="78"/>
      <c r="U50" s="78"/>
      <c r="V50" s="78"/>
      <c r="AA50" s="23"/>
      <c r="AB50" s="23"/>
    </row>
    <row r="51" spans="1:90" x14ac:dyDescent="0.2">
      <c r="C51" t="s">
        <v>63</v>
      </c>
      <c r="D51" t="str">
        <f>$AD$7</f>
        <v>NR_ES-SL-WatHeat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  <c r="R51" s="78"/>
      <c r="S51" s="78"/>
      <c r="T51" s="78"/>
      <c r="U51" s="78"/>
      <c r="V51" s="78"/>
      <c r="AA51" s="23"/>
      <c r="AB51" s="23"/>
    </row>
    <row r="52" spans="1:90" x14ac:dyDescent="0.2">
      <c r="B52" t="str">
        <f>"C_ES-SH-SL_"&amp;RIGHT(C52,3)&amp;"08"</f>
        <v>C_ES-SH-SL_GAS08</v>
      </c>
      <c r="C52" t="s">
        <v>35</v>
      </c>
      <c r="D52" t="str">
        <f>$AD$6</f>
        <v>NR_ES-SL-SpHeat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Data'!H133</f>
        <v>0.65853658536585369</v>
      </c>
      <c r="P52" s="2">
        <f>'Generalized Data'!M$133</f>
        <v>20</v>
      </c>
      <c r="Q52" s="94">
        <v>2011</v>
      </c>
      <c r="R52" s="78"/>
      <c r="S52" s="78"/>
      <c r="T52" s="78"/>
      <c r="U52" s="78"/>
      <c r="V52" s="78"/>
      <c r="AA52" s="23"/>
      <c r="AB52" s="23"/>
    </row>
    <row r="53" spans="1:90" x14ac:dyDescent="0.2">
      <c r="C53" t="s">
        <v>63</v>
      </c>
      <c r="D53" t="str">
        <f>$AD$7</f>
        <v>NR_ES-SL-WatHeat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  <c r="R53" s="78"/>
      <c r="S53" s="78"/>
      <c r="T53" s="78"/>
      <c r="U53" s="78"/>
      <c r="V53" s="78"/>
      <c r="AA53" s="23"/>
      <c r="AB53" s="23"/>
    </row>
    <row r="54" spans="1:90" x14ac:dyDescent="0.2">
      <c r="B54" t="str">
        <f>"C_ES-SH-SL_"&amp;RIGHT(C54,3)&amp;"01"</f>
        <v>C_ES-SH-SL_BIO01</v>
      </c>
      <c r="C54" t="s">
        <v>64</v>
      </c>
      <c r="D54" t="str">
        <f>$AD$6</f>
        <v>NR_ES-SL-SpHeat</v>
      </c>
      <c r="F54">
        <f>Q54</f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  <c r="R54" s="113"/>
      <c r="S54" s="113"/>
      <c r="T54" s="113"/>
      <c r="U54" s="113"/>
      <c r="V54" s="113"/>
      <c r="W54" s="57"/>
      <c r="X54" s="57"/>
      <c r="Y54" s="57"/>
      <c r="Z54" s="57"/>
      <c r="AA54" s="114"/>
      <c r="AB54" s="114"/>
      <c r="AC54" s="57"/>
      <c r="AD54" s="57"/>
      <c r="AE54" s="57"/>
      <c r="AF54" s="57"/>
      <c r="AG54" s="57"/>
      <c r="AH54" s="57"/>
      <c r="AI54" s="57"/>
      <c r="AJ54" s="57"/>
      <c r="AK54" s="57"/>
    </row>
    <row r="55" spans="1:90" x14ac:dyDescent="0.2">
      <c r="D55" t="str">
        <f>$AD$7</f>
        <v>NR_ES-SL-WatHeat</v>
      </c>
      <c r="H55" s="18"/>
      <c r="I55" s="4"/>
      <c r="K55" s="4"/>
      <c r="M55" s="3"/>
      <c r="N55" s="3"/>
      <c r="P55" s="2"/>
      <c r="Q55" s="2"/>
      <c r="R55" s="113"/>
      <c r="S55" s="113"/>
      <c r="T55" s="113"/>
      <c r="U55" s="113"/>
      <c r="V55" s="113"/>
      <c r="W55" s="57"/>
      <c r="X55" s="57"/>
      <c r="Y55" s="57"/>
      <c r="Z55" s="57"/>
      <c r="AA55" s="114"/>
      <c r="AB55" s="114"/>
      <c r="AC55" s="57"/>
      <c r="AD55" s="57"/>
      <c r="AE55" s="57"/>
      <c r="AF55" s="57"/>
      <c r="AG55" s="57"/>
      <c r="AH55" s="57"/>
      <c r="AI55" s="57"/>
      <c r="AJ55" s="57"/>
      <c r="AK55" s="57"/>
    </row>
    <row r="56" spans="1:90" x14ac:dyDescent="0.2"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463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CEFF~NR_ES-SL-WatHeat</v>
      </c>
      <c r="L59" s="9" t="str">
        <f>CONCATENATE("CEFF~",AD8)</f>
        <v>CEFF~NR_ES-SL-SpCool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107"/>
      <c r="AL59" s="33"/>
      <c r="AM59" s="33"/>
      <c r="AN59" s="33"/>
      <c r="AO59" s="33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"C_ES-WH-SL_"&amp;RIGHT(C60,3)&amp;"01"</f>
        <v>C_ES-WH-SL_BIO01</v>
      </c>
      <c r="C60" t="s">
        <v>64</v>
      </c>
      <c r="D60" t="str">
        <f>$AD$7</f>
        <v>NR_ES-SL-WatHeat</v>
      </c>
      <c r="E60">
        <f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spans="1:90" x14ac:dyDescent="0.2">
      <c r="B61" t="str">
        <f>"C_ES-WH-SL_"&amp;RIGHT(C61,3)&amp;"01"</f>
        <v>C_ES-WH-SL_ELC01</v>
      </c>
      <c r="C61" t="s">
        <v>32</v>
      </c>
      <c r="D61" t="str">
        <f>$AD$7</f>
        <v>NR_ES-SL-WatHeat</v>
      </c>
      <c r="E61">
        <f t="shared" ref="E61:E72" si="2">Q61</f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spans="1:90" x14ac:dyDescent="0.2">
      <c r="B62" t="str">
        <f>"C_ES-WH-SL_"&amp;RIGHT(C62,3)&amp;"02"</f>
        <v>C_ES-WH-SL_ELC02</v>
      </c>
      <c r="C62" t="s">
        <v>32</v>
      </c>
      <c r="D62" t="str">
        <f>$AD$7</f>
        <v>NR_ES-SL-WatHeat</v>
      </c>
      <c r="E62">
        <f t="shared" si="2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spans="1:90" x14ac:dyDescent="0.2">
      <c r="B64" t="str">
        <f>"C_ES-WH-SL_"&amp;RIGHT(C64,3)&amp;"01"</f>
        <v>C_ES-WH-SL_GAS01</v>
      </c>
      <c r="C64" t="s">
        <v>35</v>
      </c>
      <c r="D64" t="str">
        <f>$AD$7</f>
        <v>NR_ES-SL-WatHeat</v>
      </c>
      <c r="E64">
        <f t="shared" si="2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spans="1:90" x14ac:dyDescent="0.2">
      <c r="B65" t="str">
        <f>"C_ES-WH-SL_"&amp;RIGHT(C65,3)&amp;"01"</f>
        <v>C_ES-WH-SL_GEO01</v>
      </c>
      <c r="C65" t="s">
        <v>33</v>
      </c>
      <c r="D65" t="str">
        <f>$AD$7</f>
        <v>NR_ES-SL-WatHeat</v>
      </c>
      <c r="E65">
        <f t="shared" si="2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spans="1:90" x14ac:dyDescent="0.2">
      <c r="B66" t="str">
        <f>"C_ES-WH-SL_"&amp;RIGHT(C66,3)&amp;"01"</f>
        <v>C_ES-WH-SL_LPG01</v>
      </c>
      <c r="C66" t="s">
        <v>65</v>
      </c>
      <c r="D66" t="str">
        <f>$AD$7</f>
        <v>NR_ES-SL-WatHeat</v>
      </c>
      <c r="E66">
        <f t="shared" si="2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spans="1:90" x14ac:dyDescent="0.2">
      <c r="B67" t="str">
        <f>"C_ES-WH-SL_"&amp;RIGHT(C67,3)&amp;"01"</f>
        <v>C_ES-WH-SL_OIL01</v>
      </c>
      <c r="C67" t="s">
        <v>62</v>
      </c>
      <c r="D67" t="str">
        <f>$AD$7</f>
        <v>NR_ES-SL-WatHeat</v>
      </c>
      <c r="E67">
        <f t="shared" si="2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spans="1:90" x14ac:dyDescent="0.2">
      <c r="B68" t="str">
        <f>"C_ES-WH-SL_"&amp;RIGHT(C68,3)&amp;"03"</f>
        <v>C_ES-WH-SL_ELC03</v>
      </c>
      <c r="C68" t="s">
        <v>32</v>
      </c>
      <c r="D68" t="str">
        <f>$AD$7</f>
        <v>NR_ES-SL-WatHeat</v>
      </c>
      <c r="E68">
        <f t="shared" si="2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spans="1:90" x14ac:dyDescent="0.2">
      <c r="C69" t="s">
        <v>63</v>
      </c>
      <c r="G69" s="18"/>
      <c r="H69" s="4"/>
      <c r="I69" s="4"/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spans="1:90" x14ac:dyDescent="0.2">
      <c r="B70" t="str">
        <f>"C_ES-WH-SL_"&amp;RIGHT(C70,3)&amp;"02"</f>
        <v>C_ES-WH-SL_OIL02</v>
      </c>
      <c r="C70" t="s">
        <v>62</v>
      </c>
      <c r="D70" t="str">
        <f>$AD$7</f>
        <v>NR_ES-SL-WatHeat</v>
      </c>
      <c r="E70">
        <f t="shared" si="2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spans="1:90" x14ac:dyDescent="0.2">
      <c r="C71" t="s">
        <v>63</v>
      </c>
      <c r="G71" s="18"/>
      <c r="H71" s="4"/>
      <c r="I71" s="4"/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spans="1:90" x14ac:dyDescent="0.2">
      <c r="B72" t="str">
        <f>"C_ES-WH-SL_"&amp;RIGHT(C72,3)&amp;"02"</f>
        <v>C_ES-WH-SL_GAS02</v>
      </c>
      <c r="C72" t="s">
        <v>35</v>
      </c>
      <c r="D72" t="str">
        <f>$AD$7</f>
        <v>NR_ES-SL-WatHeat</v>
      </c>
      <c r="E72">
        <f t="shared" si="2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spans="1:90" x14ac:dyDescent="0.2">
      <c r="C73" t="s">
        <v>63</v>
      </c>
      <c r="G73" s="18"/>
      <c r="H73" s="4"/>
      <c r="I73" s="4"/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spans="1:90" x14ac:dyDescent="0.2">
      <c r="G74" s="18"/>
      <c r="H74" s="4"/>
      <c r="I74" s="4"/>
      <c r="J74" s="3"/>
      <c r="K74" s="3"/>
      <c r="L74" s="3"/>
      <c r="N74" s="21"/>
      <c r="R74" s="112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spans="1:90" x14ac:dyDescent="0.2">
      <c r="A75" s="6" t="s">
        <v>233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spans="1:90" x14ac:dyDescent="0.2">
      <c r="B76" s="1"/>
      <c r="E76" s="1" t="s">
        <v>15</v>
      </c>
      <c r="G76" s="2"/>
      <c r="H76" s="5"/>
      <c r="I76" s="4"/>
      <c r="J76" s="3"/>
      <c r="K76" s="3"/>
      <c r="L76" s="3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spans="1:90" ht="39" thickBot="1" x14ac:dyDescent="0.25">
      <c r="A77" s="7" t="s">
        <v>16</v>
      </c>
      <c r="B77" s="7" t="s">
        <v>17</v>
      </c>
      <c r="C77" s="8" t="s">
        <v>19</v>
      </c>
      <c r="D77" s="8" t="s">
        <v>20</v>
      </c>
      <c r="E77" s="8" t="s">
        <v>21</v>
      </c>
      <c r="F77" s="9" t="s">
        <v>463</v>
      </c>
      <c r="G77" s="10" t="s">
        <v>23</v>
      </c>
      <c r="H77" s="12" t="s">
        <v>24</v>
      </c>
      <c r="I77" s="13" t="s">
        <v>25</v>
      </c>
      <c r="J77" s="11" t="s">
        <v>258</v>
      </c>
      <c r="K77" s="9" t="str">
        <f>CONCATENATE("CEFF~",AD7)</f>
        <v>CEFF~NR_ES-SL-WatHeat</v>
      </c>
      <c r="L77" s="9" t="str">
        <f>CONCATENATE("CEFF~",AD8)</f>
        <v>CEFF~NR_ES-SL-SpCool</v>
      </c>
      <c r="M77" s="10" t="s">
        <v>27</v>
      </c>
      <c r="N77" s="10" t="s">
        <v>28</v>
      </c>
      <c r="O77" s="10" t="s">
        <v>227</v>
      </c>
      <c r="P77" s="10" t="s">
        <v>26</v>
      </c>
      <c r="Q77" s="10" t="s">
        <v>29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106"/>
      <c r="AJ77" s="107"/>
      <c r="AK77" s="107"/>
      <c r="AL77" s="33"/>
      <c r="AM77" s="33"/>
      <c r="AN77" s="33"/>
      <c r="AO77" s="33"/>
      <c r="AP77" s="33"/>
      <c r="AQ77" s="33"/>
      <c r="AR77" s="33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</row>
    <row r="78" spans="1:90" x14ac:dyDescent="0.2">
      <c r="B78" t="str">
        <f>"C_ES-SC-SL_"&amp;RIGHT(C78,3)&amp;"01"</f>
        <v>C_ES-SC-SL_ELC01</v>
      </c>
      <c r="C78" t="s">
        <v>32</v>
      </c>
      <c r="D78" t="str">
        <f t="shared" ref="D78:D84" si="3">$AD$8</f>
        <v>NR_ES-SL-SpCool</v>
      </c>
      <c r="E78">
        <f t="shared" ref="E78:E84" si="4">Q78</f>
        <v>2011</v>
      </c>
      <c r="F78">
        <v>1</v>
      </c>
      <c r="G78" s="18">
        <f>'Generalized Data'!$C$3</f>
        <v>6.3071999999999999</v>
      </c>
      <c r="H78" s="4">
        <f>'Generalized Data'!C149</f>
        <v>24.05</v>
      </c>
      <c r="I78" s="4">
        <f>'Generalized Data'!E149</f>
        <v>481</v>
      </c>
      <c r="J78" s="3">
        <f>'Generalized Data'!G149</f>
        <v>3</v>
      </c>
      <c r="K78" s="3"/>
      <c r="L78" s="3"/>
      <c r="M78" s="4"/>
      <c r="N78" s="4"/>
      <c r="O78" s="4"/>
      <c r="P78" s="2">
        <f>'Generalized Data'!M149</f>
        <v>10</v>
      </c>
      <c r="Q78" s="94">
        <v>2011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</row>
    <row r="79" spans="1:90" x14ac:dyDescent="0.2">
      <c r="B79" t="str">
        <f>"C_ES-SC-SL_"&amp;RIGHT(C79,3)&amp;"02"</f>
        <v>C_ES-SC-SL_ELC02</v>
      </c>
      <c r="C79" t="s">
        <v>32</v>
      </c>
      <c r="D79" t="str">
        <f t="shared" si="3"/>
        <v>NR_ES-SL-SpCool</v>
      </c>
      <c r="E79">
        <f t="shared" si="4"/>
        <v>2011</v>
      </c>
      <c r="F79">
        <v>1</v>
      </c>
      <c r="G79" s="18">
        <f>'Generalized Data'!$C$3</f>
        <v>6.3071999999999999</v>
      </c>
      <c r="H79" s="4">
        <f>'Generalized Data'!C150</f>
        <v>7.5994827479999998</v>
      </c>
      <c r="I79" s="4">
        <f>'Generalized Data'!E150</f>
        <v>151.98965496</v>
      </c>
      <c r="J79" s="3">
        <f>'Generalized Data'!G150</f>
        <v>0.4</v>
      </c>
      <c r="K79" s="3"/>
      <c r="L79" s="3"/>
      <c r="M79" s="4"/>
      <c r="N79" s="4"/>
      <c r="O79" s="4"/>
      <c r="P79" s="2">
        <f>'Generalized Data'!M150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spans="1:90" x14ac:dyDescent="0.2">
      <c r="B80" t="str">
        <f>"C_ES-SC-SL_"&amp;RIGHT(C80,3)&amp;"03"</f>
        <v>C_ES-SC-SL_ELC03</v>
      </c>
      <c r="C80" t="s">
        <v>32</v>
      </c>
      <c r="D80" t="str">
        <f t="shared" si="3"/>
        <v>NR_ES-SL-SpCool</v>
      </c>
      <c r="E80">
        <f t="shared" si="4"/>
        <v>2011</v>
      </c>
      <c r="F80">
        <v>1</v>
      </c>
      <c r="G80" s="18">
        <f>'Generalized Data'!$C$3</f>
        <v>6.3071999999999999</v>
      </c>
      <c r="H80" s="4">
        <f>'Generalized Data'!C151</f>
        <v>0.72955034380799999</v>
      </c>
      <c r="I80" s="4">
        <f>'Generalized Data'!E151</f>
        <v>91.193792975999997</v>
      </c>
      <c r="J80" s="3">
        <f>'Generalized Data'!G151</f>
        <v>3.1</v>
      </c>
      <c r="K80" s="3"/>
      <c r="L80" s="3"/>
      <c r="M80" s="4"/>
      <c r="N80" s="4"/>
      <c r="O80" s="4"/>
      <c r="P80" s="2">
        <f>'Generalized Data'!M151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spans="2:37" x14ac:dyDescent="0.2">
      <c r="B81" t="str">
        <f>"C_ES-SC-SL_"&amp;RIGHT(C81,3)&amp;"04"</f>
        <v>C_ES-SC-SL_ELC04</v>
      </c>
      <c r="C81" t="s">
        <v>32</v>
      </c>
      <c r="D81" t="str">
        <f t="shared" si="3"/>
        <v>NR_ES-SL-SpCool</v>
      </c>
      <c r="E81">
        <f t="shared" si="4"/>
        <v>2011</v>
      </c>
      <c r="F81">
        <v>1</v>
      </c>
      <c r="G81" s="18">
        <f>'Generalized Data'!$C$4</f>
        <v>31.536000000000001</v>
      </c>
      <c r="H81" s="4">
        <f>'Generalized Data'!C152</f>
        <v>2.6640000000000001</v>
      </c>
      <c r="I81" s="4">
        <f>'Generalized Data'!E152</f>
        <v>333</v>
      </c>
      <c r="J81" s="3">
        <f>'Generalized Data'!G152</f>
        <v>2.93</v>
      </c>
      <c r="K81" s="3"/>
      <c r="L81" s="3"/>
      <c r="M81" s="4"/>
      <c r="N81" s="4"/>
      <c r="O81" s="4"/>
      <c r="P81" s="2">
        <f>'Generalized Data'!M152</f>
        <v>15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spans="2:37" x14ac:dyDescent="0.2">
      <c r="B82" t="str">
        <f>"C_ES-SC-SL_"&amp;RIGHT(C82,3)&amp;"05"</f>
        <v>C_ES-SC-SL_ELC05</v>
      </c>
      <c r="C82" t="s">
        <v>32</v>
      </c>
      <c r="D82" t="str">
        <f t="shared" si="3"/>
        <v>NR_ES-SL-SpCool</v>
      </c>
      <c r="E82">
        <f t="shared" si="4"/>
        <v>2011</v>
      </c>
      <c r="F82">
        <v>1</v>
      </c>
      <c r="G82" s="18">
        <f>'Generalized Data'!$C$4</f>
        <v>31.536000000000001</v>
      </c>
      <c r="H82" s="4">
        <f>'Generalized Data'!C153</f>
        <v>2.1796442370559999</v>
      </c>
      <c r="I82" s="4">
        <f>'Generalized Data'!E153</f>
        <v>272.45552963199998</v>
      </c>
      <c r="J82" s="3">
        <f>'Generalized Data'!G153</f>
        <v>2.75</v>
      </c>
      <c r="K82" s="3"/>
      <c r="L82" s="3"/>
      <c r="M82" s="4"/>
      <c r="N82" s="4"/>
      <c r="O82" s="4"/>
      <c r="P82" s="2">
        <f>'Generalized Data'!M153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spans="2:37" x14ac:dyDescent="0.2">
      <c r="B83" t="str">
        <f>"C_ES-SC-SL_"&amp;RIGHT(C83,3)&amp;"01"</f>
        <v>C_ES-SC-SL_GAS01</v>
      </c>
      <c r="C83" t="s">
        <v>35</v>
      </c>
      <c r="D83" t="str">
        <f t="shared" si="3"/>
        <v>NR_ES-SL-SpCool</v>
      </c>
      <c r="E83">
        <f t="shared" si="4"/>
        <v>2011</v>
      </c>
      <c r="F83">
        <v>1</v>
      </c>
      <c r="G83" s="18">
        <f>'Generalized Data'!$C$4</f>
        <v>31.536000000000001</v>
      </c>
      <c r="H83" s="4">
        <f>'Generalized Data'!C154</f>
        <v>97.048209315199998</v>
      </c>
      <c r="I83" s="4">
        <f>'Generalized Data'!E154</f>
        <v>1940.9641863039999</v>
      </c>
      <c r="J83" s="3">
        <f>'Generalized Data'!G154</f>
        <v>4.41</v>
      </c>
      <c r="K83" s="3"/>
      <c r="L83" s="3"/>
      <c r="M83" s="4"/>
      <c r="N83" s="4"/>
      <c r="O83" s="4"/>
      <c r="P83" s="2">
        <f>'Generalized Data'!M154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spans="2:37" x14ac:dyDescent="0.2">
      <c r="B84" t="str">
        <f>"C_ES-SC-SL_"&amp;RIGHT(C84,3)&amp;"02"</f>
        <v>C_ES-SC-SL_GAS02</v>
      </c>
      <c r="C84" t="s">
        <v>35</v>
      </c>
      <c r="D84" t="str">
        <f t="shared" si="3"/>
        <v>NR_ES-SL-SpCool</v>
      </c>
      <c r="E84">
        <f t="shared" si="4"/>
        <v>2011</v>
      </c>
      <c r="F84">
        <v>1</v>
      </c>
      <c r="G84" s="18">
        <f>'Generalized Data'!$C$4</f>
        <v>31.536000000000001</v>
      </c>
      <c r="H84" s="4">
        <f>'Generalized Data'!C155</f>
        <v>69.127146774400003</v>
      </c>
      <c r="I84" s="4">
        <f>'Generalized Data'!E155</f>
        <v>1382.542935488</v>
      </c>
      <c r="J84" s="3">
        <f>'Generalized Data'!G155</f>
        <v>1.0349999999999999</v>
      </c>
      <c r="K84" s="3"/>
      <c r="L84" s="3"/>
      <c r="M84" s="4"/>
      <c r="N84" s="4"/>
      <c r="O84" s="4"/>
      <c r="P84" s="2">
        <f>'Generalized Data'!M155</f>
        <v>15</v>
      </c>
      <c r="Q84" s="94">
        <v>2011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</row>
    <row r="85" spans="2:37" x14ac:dyDescent="0.2">
      <c r="G85" s="18"/>
      <c r="H85" s="4"/>
      <c r="I85" s="4"/>
      <c r="J85" s="3"/>
      <c r="K85" s="3"/>
      <c r="L85" s="3"/>
      <c r="M85" s="4"/>
      <c r="N85" s="4"/>
      <c r="O85" s="4"/>
      <c r="P85" s="2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</row>
    <row r="86" spans="2:37" x14ac:dyDescent="0.2">
      <c r="G86" s="18"/>
      <c r="H86" s="4"/>
      <c r="I86" s="4"/>
      <c r="J86" s="3"/>
      <c r="K86" s="3"/>
      <c r="L86" s="3"/>
      <c r="M86" s="4"/>
      <c r="N86" s="4"/>
      <c r="O86" s="4"/>
      <c r="P86" s="2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</row>
    <row r="87" spans="2:37" x14ac:dyDescent="0.2"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</row>
    <row r="88" spans="2:37" x14ac:dyDescent="0.2"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</row>
    <row r="89" spans="2:37" x14ac:dyDescent="0.2"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</row>
    <row r="90" spans="2:37" x14ac:dyDescent="0.2"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</row>
    <row r="91" spans="2:37" x14ac:dyDescent="0.2"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</row>
    <row r="92" spans="2:37" x14ac:dyDescent="0.2"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</row>
    <row r="93" spans="2:37" x14ac:dyDescent="0.2"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</row>
    <row r="94" spans="2:37" x14ac:dyDescent="0.2"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</row>
    <row r="95" spans="2:37" x14ac:dyDescent="0.2"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</row>
  </sheetData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39997558519241921"/>
  </sheetPr>
  <dimension ref="A1:CL87"/>
  <sheetViews>
    <sheetView topLeftCell="A13" zoomScale="60" zoomScaleNormal="60" workbookViewId="0">
      <selection activeCell="R56" sqref="R56:AK83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10" max="10" width="12" customWidth="1"/>
    <col min="11" max="12" width="10.28515625" customWidth="1"/>
  </cols>
  <sheetData>
    <row r="1" spans="1:90" x14ac:dyDescent="0.2">
      <c r="A1" s="6" t="s">
        <v>486</v>
      </c>
      <c r="G1" t="s">
        <v>230</v>
      </c>
    </row>
    <row r="2" spans="1:90" x14ac:dyDescent="0.2">
      <c r="A2" s="110" t="s">
        <v>487</v>
      </c>
      <c r="B2" s="98"/>
      <c r="C2" s="98"/>
      <c r="D2" s="98"/>
      <c r="E2" s="98"/>
    </row>
    <row r="3" spans="1:90" ht="14.25" x14ac:dyDescent="0.2">
      <c r="A3" s="111"/>
    </row>
    <row r="4" spans="1:90" x14ac:dyDescent="0.2">
      <c r="B4" s="1"/>
      <c r="F4" s="1" t="s">
        <v>385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CONCATENATE("CEFF~",AD7)</f>
        <v>CEFF~NR_ES-SS-WatHeat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CEFF~NR_ES-SS-SpCool</v>
      </c>
      <c r="S5" s="9" t="str">
        <f>CONCATENATE("CEFF~",AD6)</f>
        <v>CEFF~NR_ES-SS-SpHeat</v>
      </c>
      <c r="T5" s="9" t="str">
        <f>CONCATENATE("CEFF~",AD6,"~W")</f>
        <v>CEFF~NR_ES-SS-SpHeat~W</v>
      </c>
      <c r="U5" s="9" t="str">
        <f>CONCATENATE("CEFF~",AD6,"~R")</f>
        <v>CEFF~NR_ES-SS-SpHeat~R</v>
      </c>
      <c r="V5" s="9" t="str">
        <f>CONCATENATE("CEFF~",AD6,"~S")</f>
        <v>CEFF~NR_ES-SS-SpHeat~S</v>
      </c>
      <c r="W5" s="9" t="str">
        <f>CONCATENATE("CEFF~",AD6,"~F")</f>
        <v>CEFF~NR_ES-SS-SpHeat~F</v>
      </c>
      <c r="X5" s="9" t="str">
        <f>CONCATENATE("AFC~",AD6)</f>
        <v>AFC~NR_ES-SS-SpHeat</v>
      </c>
      <c r="Y5" s="9" t="str">
        <f>CONCATENATE("AFC~",AD8)</f>
        <v>AFC~NR_ES-SS-SpCool</v>
      </c>
      <c r="Z5" s="9" t="str">
        <f>CONCATENATE("Share-O~LO~",AD6)</f>
        <v>Share-O~LO~NR_ES-SS-SpHeat</v>
      </c>
      <c r="AA5" s="12" t="s">
        <v>386</v>
      </c>
      <c r="AB5" s="13" t="s">
        <v>387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"C_ES-SH-SS_"&amp;RIGHT(C6,3)&amp;"01"</f>
        <v>C_ES-SH-SS_ELC01</v>
      </c>
      <c r="C6" t="s">
        <v>32</v>
      </c>
      <c r="D6" t="str">
        <f>$AD$6</f>
        <v>NR_ES-SS-SpHeat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23"/>
      <c r="AB6" s="23"/>
      <c r="AD6" t="s">
        <v>428</v>
      </c>
    </row>
    <row r="7" spans="1:90" x14ac:dyDescent="0.2">
      <c r="B7" t="str">
        <f>"C_ES-SH-SS_"&amp;RIGHT(C7,3)&amp;"02"</f>
        <v>C_ES-SH-SS_ELC02</v>
      </c>
      <c r="C7" t="s">
        <v>32</v>
      </c>
      <c r="D7" t="str">
        <f>$AD$6</f>
        <v>NR_ES-SS-SpHeat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23"/>
      <c r="AB7" s="23"/>
      <c r="AD7" t="s">
        <v>429</v>
      </c>
    </row>
    <row r="8" spans="1:90" x14ac:dyDescent="0.2">
      <c r="B8" t="str">
        <f>"C_ES-SH-SS_"&amp;RIGHT(C8,3)&amp;"03"</f>
        <v>C_ES-SH-SS_ELC03</v>
      </c>
      <c r="C8" t="s">
        <v>32</v>
      </c>
      <c r="D8" t="str">
        <f>$AD$6</f>
        <v>NR_ES-SS-SpHeat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N8" s="3"/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4" si="0">IF(I8="","",I8)</f>
        <v>14.4</v>
      </c>
      <c r="AB8" s="23">
        <f t="shared" ref="AB8:AB24" si="1">IF(K8="","",K8)</f>
        <v>720</v>
      </c>
      <c r="AD8" t="s">
        <v>430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"C_ES-SH-SS_"&amp;RIGHT(C10,3)&amp;"04"</f>
        <v>C_ES-SH-SS_ELC04</v>
      </c>
      <c r="C10" t="s">
        <v>32</v>
      </c>
      <c r="D10" t="str">
        <f>$AD$6</f>
        <v>NR_ES-SS-SpHeat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NR_ES-SS-SpCool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"C_ES-SH-SS_"&amp;RIGHT(C13,3)&amp;"05"</f>
        <v>C_ES-SH-SS_ELC05</v>
      </c>
      <c r="C13" t="s">
        <v>32</v>
      </c>
      <c r="D13" t="str">
        <f>$AD$6</f>
        <v>NR_ES-SS-SpHeat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NR_ES-SS-SpCool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"C_ES-SH-SS_"&amp;RIGHT(C16,3)&amp;"06"</f>
        <v>C_ES-SH-SS_ELC06</v>
      </c>
      <c r="C16" t="s">
        <v>32</v>
      </c>
      <c r="D16" t="str">
        <f>$AD$6</f>
        <v>NR_ES-SS-SpHeat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NR_ES-SS-SpCool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"C_ES-SH-SS_"&amp;RIGHT(C19,3)&amp;"07"</f>
        <v>C_ES-SH-SS_ELC07</v>
      </c>
      <c r="C19" t="s">
        <v>32</v>
      </c>
      <c r="D19" t="str">
        <f>$AD$6</f>
        <v>NR_ES-SS-SpHeat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NR_ES-SS-SpCool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"C_ES-SH-SS_"&amp;RIGHT(C22,3)&amp;"08"</f>
        <v>C_ES-SH-SS_ELC08</v>
      </c>
      <c r="C22" t="s">
        <v>32</v>
      </c>
      <c r="D22" t="str">
        <f>$AD$6</f>
        <v>NR_ES-SS-SpHeat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 t="shared" si="0"/>
        <v>43.2</v>
      </c>
      <c r="AB22" s="23">
        <f t="shared" si="1"/>
        <v>1080</v>
      </c>
    </row>
    <row r="23" spans="2:28" x14ac:dyDescent="0.2">
      <c r="D23" t="str">
        <f>$AD$8</f>
        <v>NR_ES-SS-SpCool</v>
      </c>
      <c r="H23" s="18"/>
      <c r="I23" s="4"/>
      <c r="K23" s="4"/>
      <c r="M23" s="3"/>
      <c r="N23" s="3"/>
      <c r="P23" s="2"/>
      <c r="Q23" s="2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 t="str">
        <f t="shared" si="0"/>
        <v/>
      </c>
      <c r="AB24" s="23" t="str">
        <f t="shared" si="1"/>
        <v/>
      </c>
    </row>
    <row r="25" spans="2:28" x14ac:dyDescent="0.2">
      <c r="B25" t="str">
        <f>"C_ES-SH-SS_"&amp;RIGHT(C25,3)&amp;"01"</f>
        <v>C_ES-SH-SS_GAS01</v>
      </c>
      <c r="C25" t="s">
        <v>35</v>
      </c>
      <c r="D25" t="str">
        <f>$AD$6</f>
        <v>NR_ES-SS-SpHeat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"C_ES-SH-SS_"&amp;RIGHT(C26,3)&amp;"02"</f>
        <v>C_ES-SH-SS_GAS02</v>
      </c>
      <c r="C26" t="s">
        <v>35</v>
      </c>
      <c r="D26" t="str">
        <f>$AD$6</f>
        <v>NR_ES-SS-SpHeat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"C_ES-SH-SS_"&amp;RIGHT(C27,3)&amp;"03"</f>
        <v>C_ES-SH-SS_GAS03</v>
      </c>
      <c r="C27" t="s">
        <v>35</v>
      </c>
      <c r="D27" t="str">
        <f>$AD$6</f>
        <v>NR_ES-SS-SpHeat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/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NR_ES-SS-WatHeat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"C_ES-SH-SS_"&amp;RIGHT(C29,3)&amp;"04"</f>
        <v>C_ES-SH-SS_GAS04</v>
      </c>
      <c r="C29" t="s">
        <v>35</v>
      </c>
      <c r="D29" t="str">
        <f>$AD$6</f>
        <v>NR_ES-SS-SpHeat</v>
      </c>
      <c r="F29">
        <f t="shared" ref="F29:F54" si="2"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"C_ES-SH-SS_"&amp;RIGHT(C30,3)&amp;"05"</f>
        <v>C_ES-SH-SS_GAS05</v>
      </c>
      <c r="C30" t="s">
        <v>35</v>
      </c>
      <c r="D30" t="str">
        <f>$AD$6</f>
        <v>NR_ES-SS-SpHeat</v>
      </c>
      <c r="F30">
        <f t="shared" si="2"/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Data'!H$121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NR_ES-SS-WatHeat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 t="shared" ref="AA31:AA39" si="3">IF(I31="","",I31)</f>
        <v/>
      </c>
      <c r="AB31" s="23" t="str">
        <f t="shared" ref="AB31:AB39" si="4">IF(K31="","",K31)</f>
        <v/>
      </c>
    </row>
    <row r="32" spans="2:28" x14ac:dyDescent="0.2">
      <c r="B32" t="str">
        <f>"C_ES-SH-SS_"&amp;RIGHT(C32,3)&amp;"06"</f>
        <v>C_ES-SH-SS_GAS06</v>
      </c>
      <c r="C32" t="s">
        <v>35</v>
      </c>
      <c r="D32" t="str">
        <f>$AD$6</f>
        <v>NR_ES-SS-SpHeat</v>
      </c>
      <c r="F32">
        <f t="shared" si="2"/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 t="shared" si="3"/>
        <v>44.64</v>
      </c>
      <c r="AB32" s="23">
        <f t="shared" si="4"/>
        <v>1116</v>
      </c>
    </row>
    <row r="33" spans="2:28" x14ac:dyDescent="0.2">
      <c r="D33" t="str">
        <f>$AD$8</f>
        <v>NR_ES-SS-SpCool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 t="shared" si="3"/>
        <v/>
      </c>
      <c r="AB33" s="23" t="str">
        <f t="shared" si="4"/>
        <v/>
      </c>
    </row>
    <row r="34" spans="2:28" x14ac:dyDescent="0.2">
      <c r="B34" t="str">
        <f>"C_ES-SH-SS_"&amp;RIGHT(C34,3)&amp;"07"</f>
        <v>C_ES-SH-SS_GAS07</v>
      </c>
      <c r="C34" t="s">
        <v>35</v>
      </c>
      <c r="D34" t="str">
        <f>$AD$6</f>
        <v>NR_ES-SS-SpHeat</v>
      </c>
      <c r="F34">
        <f t="shared" si="2"/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 t="shared" si="3"/>
        <v>55.440000000000005</v>
      </c>
      <c r="AB34" s="23">
        <f t="shared" si="4"/>
        <v>1386</v>
      </c>
    </row>
    <row r="35" spans="2:28" x14ac:dyDescent="0.2">
      <c r="D35" t="str">
        <f>$AD$8</f>
        <v>NR_ES-SS-SpCool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 t="shared" si="3"/>
        <v/>
      </c>
      <c r="AB35" s="23" t="str">
        <f t="shared" si="4"/>
        <v/>
      </c>
    </row>
    <row r="36" spans="2:28" x14ac:dyDescent="0.2">
      <c r="B36" t="str">
        <f>"C_ES-SH-SS_"&amp;RIGHT(C36,3)&amp;"01"</f>
        <v>C_ES-SH-SS_LPG01</v>
      </c>
      <c r="C36" t="s">
        <v>65</v>
      </c>
      <c r="D36" t="str">
        <f>$AD$6</f>
        <v>NR_ES-SS-SpHeat</v>
      </c>
      <c r="F36">
        <f t="shared" si="2"/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"C_ES-SH-SS_"&amp;RIGHT(C37,3)&amp;"02"</f>
        <v>C_ES-SH-SS_LPG02</v>
      </c>
      <c r="C37" t="s">
        <v>65</v>
      </c>
      <c r="D37" t="str">
        <f>$AD$6</f>
        <v>NR_ES-SS-SpHeat</v>
      </c>
      <c r="F37">
        <f t="shared" si="2"/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Data'!H$125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NR_ES-SS-WatHeat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 t="shared" si="3"/>
        <v/>
      </c>
      <c r="AB38" s="23" t="str">
        <f t="shared" si="4"/>
        <v/>
      </c>
    </row>
    <row r="39" spans="2:28" x14ac:dyDescent="0.2">
      <c r="B39" t="str">
        <f>"C_ES-SH-SS_"&amp;RIGHT(C39,3)&amp;"03"</f>
        <v>C_ES-SH-SS_LPG03</v>
      </c>
      <c r="C39" t="s">
        <v>65</v>
      </c>
      <c r="D39" t="str">
        <f>$AD$6</f>
        <v>NR_ES-SS-SpHeat</v>
      </c>
      <c r="F39">
        <f t="shared" si="2"/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 t="shared" si="3"/>
        <v>44.64</v>
      </c>
      <c r="AB39" s="23">
        <f t="shared" si="4"/>
        <v>1116</v>
      </c>
    </row>
    <row r="40" spans="2:28" x14ac:dyDescent="0.2">
      <c r="D40" t="str">
        <f>$AD$8</f>
        <v>NR_ES-SS-SpCool</v>
      </c>
      <c r="H40" s="18"/>
      <c r="I40" s="4"/>
      <c r="K40" s="4"/>
      <c r="M40" s="3"/>
      <c r="N40" s="3"/>
      <c r="P40" s="2"/>
      <c r="Q40" s="2"/>
      <c r="R40" s="78"/>
      <c r="S40" s="78"/>
    </row>
    <row r="41" spans="2:28" x14ac:dyDescent="0.2">
      <c r="B41" t="str">
        <f>"C_ES-SH-SS_"&amp;RIGHT(C41,3)&amp;"01"</f>
        <v>C_ES-SH-SS_HET01</v>
      </c>
      <c r="C41" t="s">
        <v>465</v>
      </c>
      <c r="D41" t="str">
        <f>$AD$6</f>
        <v>NR_ES-SS-SpHeat</v>
      </c>
      <c r="F41">
        <f t="shared" si="2"/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</row>
    <row r="42" spans="2:28" x14ac:dyDescent="0.2">
      <c r="D42" t="str">
        <f>$AD$7</f>
        <v>NR_ES-SS-WatHeat</v>
      </c>
      <c r="H42" s="18"/>
      <c r="I42" s="4"/>
      <c r="K42" s="4"/>
      <c r="M42" s="3"/>
      <c r="N42" s="3"/>
      <c r="P42" s="2"/>
      <c r="Q42" s="2"/>
    </row>
    <row r="43" spans="2:28" x14ac:dyDescent="0.2">
      <c r="B43" t="str">
        <f>"C_ES-SH-SS_"&amp;RIGHT(C43,3)&amp;"01"</f>
        <v>C_ES-SH-SS_OIL01</v>
      </c>
      <c r="C43" t="s">
        <v>62</v>
      </c>
      <c r="D43" t="str">
        <f>$AD$6</f>
        <v>NR_ES-SS-SpHeat</v>
      </c>
      <c r="F43">
        <f t="shared" si="2"/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</row>
    <row r="44" spans="2:28" x14ac:dyDescent="0.2">
      <c r="B44" t="str">
        <f>"C_ES-SH-SS_"&amp;RIGHT(C44,3)&amp;"02"</f>
        <v>C_ES-SH-SS_OIL02</v>
      </c>
      <c r="C44" t="s">
        <v>62</v>
      </c>
      <c r="D44" t="str">
        <f>$AD$6</f>
        <v>NR_ES-SS-SpHeat</v>
      </c>
      <c r="F44">
        <f t="shared" si="2"/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</row>
    <row r="45" spans="2:28" x14ac:dyDescent="0.2">
      <c r="D45" t="str">
        <f>$AD$7</f>
        <v>NR_ES-SS-WatHeat</v>
      </c>
      <c r="H45" s="18"/>
      <c r="I45" s="4"/>
      <c r="K45" s="4"/>
      <c r="M45" s="3"/>
      <c r="N45" s="3"/>
      <c r="P45" s="2"/>
      <c r="Q45" s="2"/>
    </row>
    <row r="46" spans="2:28" x14ac:dyDescent="0.2">
      <c r="B46" t="str">
        <f>"C_ES-SH-SS_"&amp;RIGHT(C46,3)&amp;"03"</f>
        <v>C_ES-SH-SS_OIL03</v>
      </c>
      <c r="C46" t="s">
        <v>62</v>
      </c>
      <c r="D46" t="str">
        <f>$AD$6</f>
        <v>NR_ES-SS-SpHeat</v>
      </c>
      <c r="F46">
        <f t="shared" si="2"/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Data'!H$130</f>
        <v>0.38</v>
      </c>
      <c r="P46" s="2">
        <f>'Generalized Data'!M$130</f>
        <v>20</v>
      </c>
      <c r="Q46" s="94">
        <v>2011</v>
      </c>
    </row>
    <row r="47" spans="2:28" x14ac:dyDescent="0.2">
      <c r="D47" t="str">
        <f>$AD$7</f>
        <v>NR_ES-SS-WatHeat</v>
      </c>
      <c r="H47" s="18"/>
      <c r="I47" s="4"/>
      <c r="K47" s="4"/>
      <c r="M47" s="3"/>
      <c r="N47" s="3"/>
      <c r="P47" s="2"/>
      <c r="Q47" s="2"/>
    </row>
    <row r="48" spans="2:28" x14ac:dyDescent="0.2">
      <c r="B48" t="str">
        <f>"C_ES-SH-SS_"&amp;RIGHT(C48,3)&amp;"09"</f>
        <v>C_ES-SH-SS_ELC09</v>
      </c>
      <c r="C48" t="s">
        <v>32</v>
      </c>
      <c r="D48" t="str">
        <f>$AD$6</f>
        <v>NR_ES-SS-SpHeat</v>
      </c>
      <c r="F48">
        <f t="shared" si="2"/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Data'!H$131</f>
        <v>1.0731707317073171</v>
      </c>
      <c r="P48" s="2">
        <f>'Generalized Data'!M$131</f>
        <v>20</v>
      </c>
      <c r="Q48" s="94">
        <v>2011</v>
      </c>
    </row>
    <row r="49" spans="1:90" x14ac:dyDescent="0.2">
      <c r="C49" t="s">
        <v>63</v>
      </c>
      <c r="D49" t="str">
        <f>$AD$7</f>
        <v>NR_ES-SS-WatHeat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</row>
    <row r="50" spans="1:90" x14ac:dyDescent="0.2">
      <c r="B50" t="str">
        <f>"C_ES-SH-SS_"&amp;RIGHT(C50,3)&amp;"04"</f>
        <v>C_ES-SH-SS_OIL04</v>
      </c>
      <c r="C50" t="s">
        <v>62</v>
      </c>
      <c r="D50" t="str">
        <f>$AD$6</f>
        <v>NR_ES-SS-SpHeat</v>
      </c>
      <c r="F50">
        <f t="shared" si="2"/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Data'!H$132</f>
        <v>0.65853658536585369</v>
      </c>
      <c r="P50" s="2">
        <f>'Generalized Data'!M$132</f>
        <v>20</v>
      </c>
      <c r="Q50" s="94">
        <v>2011</v>
      </c>
    </row>
    <row r="51" spans="1:90" x14ac:dyDescent="0.2">
      <c r="C51" t="s">
        <v>63</v>
      </c>
      <c r="D51" t="str">
        <f>$AD$7</f>
        <v>NR_ES-SS-WatHeat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</row>
    <row r="52" spans="1:90" x14ac:dyDescent="0.2">
      <c r="B52" t="str">
        <f>"C_ES-SH-SS_"&amp;RIGHT(C52,3)&amp;"08"</f>
        <v>C_ES-SH-SS_GAS08</v>
      </c>
      <c r="C52" t="s">
        <v>35</v>
      </c>
      <c r="D52" t="str">
        <f>$AD$6</f>
        <v>NR_ES-SS-SpHeat</v>
      </c>
      <c r="F52">
        <f t="shared" si="2"/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Data'!H$133</f>
        <v>0.65853658536585369</v>
      </c>
      <c r="P52" s="2">
        <f>'Generalized Data'!M$133</f>
        <v>20</v>
      </c>
      <c r="Q52" s="94">
        <v>2011</v>
      </c>
    </row>
    <row r="53" spans="1:90" x14ac:dyDescent="0.2">
      <c r="C53" t="s">
        <v>63</v>
      </c>
      <c r="D53" t="str">
        <f>$AD$7</f>
        <v>NR_ES-SS-WatHeat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</row>
    <row r="54" spans="1:90" x14ac:dyDescent="0.2">
      <c r="B54" t="str">
        <f>"C_ES-SH-SS_"&amp;RIGHT(C54,3)&amp;"01"</f>
        <v>C_ES-SH-SS_BIO01</v>
      </c>
      <c r="C54" t="s">
        <v>64</v>
      </c>
      <c r="D54" t="str">
        <f>$AD$6</f>
        <v>NR_ES-SS-SpHeat</v>
      </c>
      <c r="F54">
        <f t="shared" si="2"/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</row>
    <row r="55" spans="1:90" x14ac:dyDescent="0.2">
      <c r="D55" t="str">
        <f>$AD$7</f>
        <v>NR_ES-SS-WatHeat</v>
      </c>
      <c r="H55" s="18"/>
      <c r="I55" s="4"/>
      <c r="K55" s="4"/>
      <c r="M55" s="3"/>
      <c r="N55" s="3"/>
      <c r="P55" s="2"/>
      <c r="Q55" s="2"/>
    </row>
    <row r="56" spans="1:90" x14ac:dyDescent="0.2"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463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CEFF~NR_ES-SS-WatHeat</v>
      </c>
      <c r="L59" s="9" t="str">
        <f>CONCATENATE("CEFF~",AD8)</f>
        <v>CEFF~NR_ES-SS-SpCool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107"/>
      <c r="AL59" s="33"/>
      <c r="AM59" s="33"/>
      <c r="AN59" s="33"/>
      <c r="AO59" s="33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"C_ES-WH-SS_"&amp;RIGHT(C60,3)&amp;"01"</f>
        <v>C_ES-WH-SS_BIO01</v>
      </c>
      <c r="C60" t="s">
        <v>64</v>
      </c>
      <c r="D60" t="str">
        <f>$AD$7</f>
        <v>NR_ES-SS-WatHeat</v>
      </c>
      <c r="E60">
        <f t="shared" ref="E60:E74" si="5"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spans="1:90" x14ac:dyDescent="0.2">
      <c r="B61" t="str">
        <f>"C_ES-WH-SS_"&amp;RIGHT(C61,3)&amp;"01"</f>
        <v>C_ES-WH-SS_ELC01</v>
      </c>
      <c r="C61" t="s">
        <v>32</v>
      </c>
      <c r="D61" t="str">
        <f>$AD$7</f>
        <v>NR_ES-SS-WatHeat</v>
      </c>
      <c r="E61">
        <f t="shared" si="5"/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spans="1:90" x14ac:dyDescent="0.2">
      <c r="B62" t="str">
        <f>"C_ES-WH-SS_"&amp;RIGHT(C62,3)&amp;"02"</f>
        <v>C_ES-WH-SS_ELC02</v>
      </c>
      <c r="C62" t="s">
        <v>32</v>
      </c>
      <c r="D62" t="str">
        <f>$AD$7</f>
        <v>NR_ES-SS-WatHeat</v>
      </c>
      <c r="E62">
        <f t="shared" si="5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spans="1:90" x14ac:dyDescent="0.2">
      <c r="B64" t="str">
        <f>"C_ES-WH-SS_"&amp;RIGHT(C64,3)&amp;"01"</f>
        <v>C_ES-WH-SS_GAS01</v>
      </c>
      <c r="C64" t="s">
        <v>35</v>
      </c>
      <c r="D64" t="str">
        <f>$AD$7</f>
        <v>NR_ES-SS-WatHeat</v>
      </c>
      <c r="E64">
        <f t="shared" si="5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spans="1:90" x14ac:dyDescent="0.2">
      <c r="B65" t="str">
        <f>"C_ES-WH-SS_"&amp;RIGHT(C65,3)&amp;"01"</f>
        <v>C_ES-WH-SS_GEO01</v>
      </c>
      <c r="C65" t="s">
        <v>33</v>
      </c>
      <c r="D65" t="str">
        <f>$AD$7</f>
        <v>NR_ES-SS-WatHeat</v>
      </c>
      <c r="E65">
        <f t="shared" si="5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spans="1:90" x14ac:dyDescent="0.2">
      <c r="B66" t="str">
        <f>"C_ES-WH-SS_"&amp;RIGHT(C66,3)&amp;"01"</f>
        <v>C_ES-WH-SS_LPG01</v>
      </c>
      <c r="C66" t="s">
        <v>65</v>
      </c>
      <c r="D66" t="str">
        <f>$AD$7</f>
        <v>NR_ES-SS-WatHeat</v>
      </c>
      <c r="E66">
        <f t="shared" si="5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spans="1:90" x14ac:dyDescent="0.2">
      <c r="B67" t="str">
        <f>"C_ES-WH-SS_"&amp;RIGHT(C67,3)&amp;"01"</f>
        <v>C_ES-WH-SS_OIL01</v>
      </c>
      <c r="C67" t="s">
        <v>62</v>
      </c>
      <c r="D67" t="str">
        <f>$AD$7</f>
        <v>NR_ES-SS-WatHeat</v>
      </c>
      <c r="E67">
        <f t="shared" si="5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spans="1:90" x14ac:dyDescent="0.2">
      <c r="B68" t="str">
        <f>"C_ES-WH-SS_"&amp;RIGHT(C68,3)&amp;"03"</f>
        <v>C_ES-WH-SS_ELC03</v>
      </c>
      <c r="C68" t="s">
        <v>32</v>
      </c>
      <c r="D68" t="str">
        <f>$AD$7</f>
        <v>NR_ES-SS-WatHeat</v>
      </c>
      <c r="E68">
        <f t="shared" si="5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spans="1:90" x14ac:dyDescent="0.2">
      <c r="C69" t="s">
        <v>63</v>
      </c>
      <c r="E69">
        <v>2020</v>
      </c>
      <c r="G69" s="18"/>
      <c r="H69" s="4"/>
      <c r="I69" s="4">
        <f>'Generalized Data'!K144</f>
        <v>1358</v>
      </c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spans="1:90" x14ac:dyDescent="0.2">
      <c r="B70" t="str">
        <f>"C_ES-WH-SS_"&amp;RIGHT(C70,3)&amp;"01"</f>
        <v>C_ES-WH-SS_OIL01</v>
      </c>
      <c r="C70" t="s">
        <v>62</v>
      </c>
      <c r="D70" t="str">
        <f>$AD$7</f>
        <v>NR_ES-SS-WatHeat</v>
      </c>
      <c r="E70">
        <f t="shared" si="5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spans="1:90" x14ac:dyDescent="0.2">
      <c r="C71" t="s">
        <v>63</v>
      </c>
      <c r="E71">
        <v>2020</v>
      </c>
      <c r="G71" s="18"/>
      <c r="H71" s="4"/>
      <c r="I71" s="4">
        <f>'Generalized Data'!K145</f>
        <v>733</v>
      </c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spans="1:90" x14ac:dyDescent="0.2">
      <c r="B72" t="str">
        <f>"C_ES-WH-SS_"&amp;RIGHT(C72,3)&amp;"01"</f>
        <v>C_ES-WH-SS_GAS01</v>
      </c>
      <c r="C72" t="s">
        <v>35</v>
      </c>
      <c r="D72" t="str">
        <f>$AD$7</f>
        <v>NR_ES-SS-WatHeat</v>
      </c>
      <c r="E72">
        <f t="shared" si="5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spans="1:90" x14ac:dyDescent="0.2">
      <c r="C73" t="s">
        <v>63</v>
      </c>
      <c r="E73">
        <v>2020</v>
      </c>
      <c r="G73" s="18"/>
      <c r="H73" s="4"/>
      <c r="I73" s="4">
        <f>'Generalized Data'!K146</f>
        <v>834</v>
      </c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spans="1:90" x14ac:dyDescent="0.2">
      <c r="B74" t="str">
        <f>"C_ES-WH-SS_"&amp;RIGHT(C74,3)&amp;"01"</f>
        <v>C_ES-WH-SS_WSE01</v>
      </c>
      <c r="C74" t="s">
        <v>295</v>
      </c>
      <c r="D74" t="str">
        <f>$AD$7</f>
        <v>NR_ES-SS-WatHeat</v>
      </c>
      <c r="E74">
        <f t="shared" si="5"/>
        <v>2011</v>
      </c>
      <c r="F74">
        <v>1</v>
      </c>
      <c r="G74" s="18">
        <f>'Generalized Data'!$C$4</f>
        <v>31.536000000000001</v>
      </c>
      <c r="H74" s="4">
        <f>'Generalized Data'!C147</f>
        <v>240</v>
      </c>
      <c r="I74" s="4">
        <f>'Generalized Data'!E147</f>
        <v>12000</v>
      </c>
      <c r="J74" s="3">
        <f>'Generalized Data'!G147</f>
        <v>1</v>
      </c>
      <c r="K74" s="3"/>
      <c r="L74" s="3"/>
      <c r="N74" s="21"/>
      <c r="P74" s="2">
        <f>'Generalized Data'!M147</f>
        <v>15</v>
      </c>
      <c r="Q74" s="94">
        <v>2011</v>
      </c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spans="1:90" x14ac:dyDescent="0.2">
      <c r="G75" s="18"/>
      <c r="H75" s="4"/>
      <c r="I75" s="4"/>
      <c r="J75" s="3"/>
      <c r="K75" s="3"/>
      <c r="L75" s="3"/>
      <c r="N75" s="21"/>
      <c r="R75" s="112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spans="1:90" x14ac:dyDescent="0.2">
      <c r="A76" s="6" t="s">
        <v>233</v>
      </c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spans="1:90" x14ac:dyDescent="0.2">
      <c r="B77" s="1"/>
      <c r="E77" s="1" t="s">
        <v>15</v>
      </c>
      <c r="G77" s="2"/>
      <c r="H77" s="5"/>
      <c r="I77" s="4"/>
      <c r="J77" s="3"/>
      <c r="K77" s="3"/>
      <c r="L77" s="3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</row>
    <row r="78" spans="1:90" ht="39" thickBot="1" x14ac:dyDescent="0.25">
      <c r="A78" s="7" t="s">
        <v>16</v>
      </c>
      <c r="B78" s="7" t="s">
        <v>17</v>
      </c>
      <c r="C78" s="8" t="s">
        <v>19</v>
      </c>
      <c r="D78" s="8" t="s">
        <v>20</v>
      </c>
      <c r="E78" s="8" t="s">
        <v>21</v>
      </c>
      <c r="F78" s="9" t="s">
        <v>463</v>
      </c>
      <c r="G78" s="10" t="s">
        <v>23</v>
      </c>
      <c r="H78" s="12" t="s">
        <v>24</v>
      </c>
      <c r="I78" s="13" t="s">
        <v>25</v>
      </c>
      <c r="J78" s="11" t="s">
        <v>258</v>
      </c>
      <c r="K78" s="9" t="str">
        <f>CONCATENATE("CEFF~",AD7)</f>
        <v>CEFF~NR_ES-SS-WatHeat</v>
      </c>
      <c r="L78" s="9" t="str">
        <f>CONCATENATE("CEFF~",AD8)</f>
        <v>CEFF~NR_ES-SS-SpCool</v>
      </c>
      <c r="M78" s="10" t="s">
        <v>27</v>
      </c>
      <c r="N78" s="10" t="s">
        <v>28</v>
      </c>
      <c r="O78" s="10" t="s">
        <v>227</v>
      </c>
      <c r="P78" s="10" t="s">
        <v>26</v>
      </c>
      <c r="Q78" s="10" t="s">
        <v>29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106"/>
      <c r="AJ78" s="107"/>
      <c r="AK78" s="107"/>
      <c r="AL78" s="33"/>
      <c r="AM78" s="33"/>
      <c r="AN78" s="33"/>
      <c r="AO78" s="33"/>
      <c r="AP78" s="33"/>
      <c r="AQ78" s="33"/>
      <c r="AR78" s="33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</row>
    <row r="79" spans="1:90" x14ac:dyDescent="0.2">
      <c r="B79" t="str">
        <f>"C_ES-SC-SS_"&amp;RIGHT(C79,3)&amp;"01"</f>
        <v>C_ES-SC-SS_ELC01</v>
      </c>
      <c r="C79" t="s">
        <v>32</v>
      </c>
      <c r="D79" t="str">
        <f t="shared" ref="D79:D85" si="6">$AD$8</f>
        <v>NR_ES-SS-SpCool</v>
      </c>
      <c r="E79">
        <f t="shared" ref="E79:E85" si="7">Q79</f>
        <v>2011</v>
      </c>
      <c r="F79">
        <v>1</v>
      </c>
      <c r="G79" s="18">
        <f>'Generalized Data'!$C$3</f>
        <v>6.3071999999999999</v>
      </c>
      <c r="H79" s="4">
        <f>'Generalized Data'!C149</f>
        <v>24.05</v>
      </c>
      <c r="I79" s="4">
        <f>'Generalized Data'!E149</f>
        <v>481</v>
      </c>
      <c r="J79" s="3">
        <f>'Generalized Data'!G149</f>
        <v>3</v>
      </c>
      <c r="K79" s="3"/>
      <c r="L79" s="3"/>
      <c r="M79" s="4"/>
      <c r="N79" s="4"/>
      <c r="O79" s="4"/>
      <c r="P79" s="2">
        <f>'Generalized Data'!M149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spans="1:90" x14ac:dyDescent="0.2">
      <c r="B80" t="str">
        <f>"C_ES-SC-SS_"&amp;RIGHT(C80,3)&amp;"02"</f>
        <v>C_ES-SC-SS_ELC02</v>
      </c>
      <c r="C80" t="s">
        <v>32</v>
      </c>
      <c r="D80" t="str">
        <f t="shared" si="6"/>
        <v>NR_ES-SS-SpCool</v>
      </c>
      <c r="E80">
        <f t="shared" si="7"/>
        <v>2011</v>
      </c>
      <c r="F80">
        <v>1</v>
      </c>
      <c r="G80" s="18">
        <f>'Generalized Data'!$C$3</f>
        <v>6.3071999999999999</v>
      </c>
      <c r="H80" s="4">
        <f>'Generalized Data'!C150</f>
        <v>7.5994827479999998</v>
      </c>
      <c r="I80" s="4">
        <f>'Generalized Data'!E150</f>
        <v>151.98965496</v>
      </c>
      <c r="J80" s="3">
        <f>'Generalized Data'!G150</f>
        <v>0.4</v>
      </c>
      <c r="K80" s="3"/>
      <c r="L80" s="3"/>
      <c r="M80" s="4"/>
      <c r="N80" s="4"/>
      <c r="O80" s="4"/>
      <c r="P80" s="2">
        <f>'Generalized Data'!M150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spans="2:37" x14ac:dyDescent="0.2">
      <c r="B81" t="str">
        <f>"C_ES-SC-SS_"&amp;RIGHT(C81,3)&amp;"03"</f>
        <v>C_ES-SC-SS_ELC03</v>
      </c>
      <c r="C81" t="s">
        <v>32</v>
      </c>
      <c r="D81" t="str">
        <f t="shared" si="6"/>
        <v>NR_ES-SS-SpCool</v>
      </c>
      <c r="E81">
        <f t="shared" si="7"/>
        <v>2011</v>
      </c>
      <c r="F81">
        <v>1</v>
      </c>
      <c r="G81" s="18">
        <f>'Generalized Data'!$C$3</f>
        <v>6.3071999999999999</v>
      </c>
      <c r="H81" s="4">
        <f>'Generalized Data'!C151</f>
        <v>0.72955034380799999</v>
      </c>
      <c r="I81" s="4">
        <f>'Generalized Data'!E151</f>
        <v>91.193792975999997</v>
      </c>
      <c r="J81" s="3">
        <f>'Generalized Data'!G151</f>
        <v>3.1</v>
      </c>
      <c r="K81" s="3"/>
      <c r="L81" s="3"/>
      <c r="M81" s="4"/>
      <c r="N81" s="4"/>
      <c r="O81" s="4"/>
      <c r="P81" s="2">
        <f>'Generalized Data'!M151</f>
        <v>10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spans="2:37" x14ac:dyDescent="0.2">
      <c r="B82" t="str">
        <f>"C_ES-SC-SS_"&amp;RIGHT(C82,3)&amp;"04"</f>
        <v>C_ES-SC-SS_ELC04</v>
      </c>
      <c r="C82" t="s">
        <v>32</v>
      </c>
      <c r="D82" t="str">
        <f t="shared" si="6"/>
        <v>NR_ES-SS-SpCool</v>
      </c>
      <c r="E82">
        <f t="shared" si="7"/>
        <v>2011</v>
      </c>
      <c r="F82">
        <v>1</v>
      </c>
      <c r="G82" s="18">
        <f>'Generalized Data'!$C$4</f>
        <v>31.536000000000001</v>
      </c>
      <c r="H82" s="4">
        <f>'Generalized Data'!C152</f>
        <v>2.6640000000000001</v>
      </c>
      <c r="I82" s="4">
        <f>'Generalized Data'!E152</f>
        <v>333</v>
      </c>
      <c r="J82" s="3">
        <f>'Generalized Data'!G152</f>
        <v>2.93</v>
      </c>
      <c r="K82" s="3"/>
      <c r="L82" s="3"/>
      <c r="M82" s="4"/>
      <c r="N82" s="4"/>
      <c r="O82" s="4"/>
      <c r="P82" s="2">
        <f>'Generalized Data'!M152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spans="2:37" x14ac:dyDescent="0.2">
      <c r="B83" t="str">
        <f>"C_ES-SC-SS_"&amp;RIGHT(C83,3)&amp;"05"</f>
        <v>C_ES-SC-SS_ELC05</v>
      </c>
      <c r="C83" t="s">
        <v>32</v>
      </c>
      <c r="D83" t="str">
        <f t="shared" si="6"/>
        <v>NR_ES-SS-SpCool</v>
      </c>
      <c r="E83">
        <f t="shared" si="7"/>
        <v>2011</v>
      </c>
      <c r="F83">
        <v>1</v>
      </c>
      <c r="G83" s="18">
        <f>'Generalized Data'!$C$4</f>
        <v>31.536000000000001</v>
      </c>
      <c r="H83" s="4">
        <f>'Generalized Data'!C153</f>
        <v>2.1796442370559999</v>
      </c>
      <c r="I83" s="4">
        <f>'Generalized Data'!E153</f>
        <v>272.45552963199998</v>
      </c>
      <c r="J83" s="3">
        <f>'Generalized Data'!G153</f>
        <v>2.75</v>
      </c>
      <c r="K83" s="3"/>
      <c r="L83" s="3"/>
      <c r="M83" s="4"/>
      <c r="N83" s="4"/>
      <c r="O83" s="4"/>
      <c r="P83" s="2">
        <f>'Generalized Data'!M153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spans="2:37" x14ac:dyDescent="0.2">
      <c r="B84" t="str">
        <f>"C_ES-SC-SS_"&amp;RIGHT(C84,3)&amp;"01"</f>
        <v>C_ES-SC-SS_GAS01</v>
      </c>
      <c r="C84" t="s">
        <v>35</v>
      </c>
      <c r="D84" t="str">
        <f t="shared" si="6"/>
        <v>NR_ES-SS-SpCool</v>
      </c>
      <c r="E84">
        <f t="shared" si="7"/>
        <v>2011</v>
      </c>
      <c r="F84">
        <v>1</v>
      </c>
      <c r="G84" s="18">
        <f>'Generalized Data'!$C$4</f>
        <v>31.536000000000001</v>
      </c>
      <c r="H84" s="4">
        <f>'Generalized Data'!C154</f>
        <v>97.048209315199998</v>
      </c>
      <c r="I84" s="4">
        <f>'Generalized Data'!E154</f>
        <v>1940.9641863039999</v>
      </c>
      <c r="J84" s="3">
        <f>'Generalized Data'!G154</f>
        <v>4.41</v>
      </c>
      <c r="K84" s="3"/>
      <c r="L84" s="3"/>
      <c r="M84" s="4"/>
      <c r="N84" s="4"/>
      <c r="O84" s="4"/>
      <c r="P84" s="2">
        <f>'Generalized Data'!M154</f>
        <v>15</v>
      </c>
      <c r="Q84" s="94">
        <v>2011</v>
      </c>
    </row>
    <row r="85" spans="2:37" x14ac:dyDescent="0.2">
      <c r="B85" t="str">
        <f>"C_ES-SC-SS_"&amp;RIGHT(C85,3)&amp;"02"</f>
        <v>C_ES-SC-SS_GAS02</v>
      </c>
      <c r="C85" t="s">
        <v>35</v>
      </c>
      <c r="D85" t="str">
        <f t="shared" si="6"/>
        <v>NR_ES-SS-SpCool</v>
      </c>
      <c r="E85">
        <f t="shared" si="7"/>
        <v>2011</v>
      </c>
      <c r="F85">
        <v>1</v>
      </c>
      <c r="G85" s="18">
        <f>'Generalized Data'!$C$4</f>
        <v>31.536000000000001</v>
      </c>
      <c r="H85" s="4">
        <f>'Generalized Data'!C155</f>
        <v>69.127146774400003</v>
      </c>
      <c r="I85" s="4">
        <f>'Generalized Data'!E155</f>
        <v>1382.542935488</v>
      </c>
      <c r="J85" s="3">
        <f>'Generalized Data'!G155</f>
        <v>1.0349999999999999</v>
      </c>
      <c r="K85" s="3"/>
      <c r="L85" s="3"/>
      <c r="M85" s="4"/>
      <c r="N85" s="4"/>
      <c r="O85" s="4"/>
      <c r="P85" s="2">
        <f>'Generalized Data'!M155</f>
        <v>15</v>
      </c>
      <c r="Q85" s="94">
        <v>2011</v>
      </c>
    </row>
    <row r="86" spans="2:37" x14ac:dyDescent="0.2">
      <c r="G86" s="18"/>
      <c r="H86" s="4"/>
      <c r="I86" s="4"/>
      <c r="J86" s="3"/>
      <c r="K86" s="3"/>
      <c r="L86" s="3"/>
      <c r="M86" s="4"/>
      <c r="N86" s="4"/>
      <c r="O86" s="4"/>
      <c r="P86" s="2"/>
    </row>
    <row r="87" spans="2:37" x14ac:dyDescent="0.2">
      <c r="G87" s="18"/>
      <c r="H87" s="4"/>
      <c r="I87" s="4"/>
      <c r="J87" s="3"/>
      <c r="K87" s="3"/>
      <c r="L87" s="3"/>
      <c r="M87" s="4"/>
      <c r="N87" s="4"/>
      <c r="O87" s="4"/>
      <c r="P87" s="2"/>
    </row>
  </sheetData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1:CL158"/>
  <sheetViews>
    <sheetView zoomScale="50" zoomScaleNormal="50" workbookViewId="0">
      <selection activeCell="AE56" sqref="AE56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10" max="10" width="12" customWidth="1"/>
    <col min="11" max="12" width="10.28515625" customWidth="1"/>
  </cols>
  <sheetData>
    <row r="1" spans="1:90" x14ac:dyDescent="0.2">
      <c r="A1" s="6" t="s">
        <v>485</v>
      </c>
      <c r="G1" t="s">
        <v>230</v>
      </c>
    </row>
    <row r="2" spans="1:90" x14ac:dyDescent="0.2">
      <c r="A2" s="110" t="s">
        <v>488</v>
      </c>
      <c r="B2" s="98"/>
      <c r="C2" s="98"/>
      <c r="D2" s="98"/>
      <c r="E2" s="98"/>
    </row>
    <row r="3" spans="1:90" ht="14.25" x14ac:dyDescent="0.2">
      <c r="A3" s="111"/>
    </row>
    <row r="4" spans="1:90" x14ac:dyDescent="0.2">
      <c r="B4" s="1"/>
      <c r="F4" s="1" t="s">
        <v>385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355</v>
      </c>
      <c r="F5" s="8" t="s">
        <v>21</v>
      </c>
      <c r="G5" s="9" t="s">
        <v>463</v>
      </c>
      <c r="H5" s="10" t="s">
        <v>23</v>
      </c>
      <c r="I5" s="12" t="s">
        <v>407</v>
      </c>
      <c r="J5" s="12" t="s">
        <v>363</v>
      </c>
      <c r="K5" s="13" t="s">
        <v>408</v>
      </c>
      <c r="L5" s="13" t="s">
        <v>364</v>
      </c>
      <c r="M5" s="11" t="s">
        <v>258</v>
      </c>
      <c r="N5" s="9" t="str">
        <f>CONCATENATE("CEFF~",AD7)</f>
        <v>CEFF~NR_ES-OF-WatHeat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CEFF~NR_ES-OF-SpCool</v>
      </c>
      <c r="S5" s="9" t="str">
        <f>CONCATENATE("CEFF~",AD6)</f>
        <v>CEFF~NR_ES-OF-SpHeat</v>
      </c>
      <c r="T5" s="9" t="str">
        <f>CONCATENATE("CEFF~",AD6,"~W")</f>
        <v>CEFF~NR_ES-OF-SpHeat~W</v>
      </c>
      <c r="U5" s="9" t="str">
        <f>CONCATENATE("CEFF~",AD6,"~R")</f>
        <v>CEFF~NR_ES-OF-SpHeat~R</v>
      </c>
      <c r="V5" s="9" t="str">
        <f>CONCATENATE("CEFF~",AD6,"~S")</f>
        <v>CEFF~NR_ES-OF-SpHeat~S</v>
      </c>
      <c r="W5" s="9" t="str">
        <f>CONCATENATE("CEFF~",AD6,"~F")</f>
        <v>CEFF~NR_ES-OF-SpHeat~F</v>
      </c>
      <c r="X5" s="9" t="str">
        <f>CONCATENATE("AFC~",AD6)</f>
        <v>AFC~NR_ES-OF-SpHeat</v>
      </c>
      <c r="Y5" s="9" t="str">
        <f>CONCATENATE("AFC~",AD8)</f>
        <v>AFC~NR_ES-OF-SpCool</v>
      </c>
      <c r="Z5" s="9" t="str">
        <f>CONCATENATE("Share-O~LO~",AD6)</f>
        <v>Share-O~LO~NR_ES-OF-SpHeat</v>
      </c>
      <c r="AA5" s="12" t="s">
        <v>386</v>
      </c>
      <c r="AB5" s="13" t="s">
        <v>387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"C_ES-SH-OF_"&amp;RIGHT(C6,3)&amp;"01"</f>
        <v>C_ES-SH-OF_ELC01</v>
      </c>
      <c r="C6" t="s">
        <v>32</v>
      </c>
      <c r="D6" t="str">
        <f>$AD$6</f>
        <v>NR_ES-OF-SpHeat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87"/>
      <c r="AB6" s="87"/>
      <c r="AD6" t="s">
        <v>432</v>
      </c>
    </row>
    <row r="7" spans="1:90" x14ac:dyDescent="0.2">
      <c r="B7" t="str">
        <f>"C_ES-SH-OF_"&amp;RIGHT(C7,3)&amp;"02"</f>
        <v>C_ES-SH-OF_ELC02</v>
      </c>
      <c r="C7" t="s">
        <v>32</v>
      </c>
      <c r="D7" t="str">
        <f>$AD$6</f>
        <v>NR_ES-OF-SpHeat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87"/>
      <c r="AB7" s="87"/>
      <c r="AD7" t="s">
        <v>433</v>
      </c>
    </row>
    <row r="8" spans="1:90" x14ac:dyDescent="0.2">
      <c r="B8" t="str">
        <f>"C_ES-SH-OF_"&amp;RIGHT(C8,3)&amp;"03"</f>
        <v>C_ES-SH-OF_ELC03</v>
      </c>
      <c r="C8" t="s">
        <v>32</v>
      </c>
      <c r="D8" t="str">
        <f>$AD$6</f>
        <v>NR_ES-OF-SpHeat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3" si="0">IF(I8="","",I8)</f>
        <v>14.4</v>
      </c>
      <c r="AB8" s="23">
        <f t="shared" ref="AB8:AB23" si="1">IF(K8="","",K8)</f>
        <v>720</v>
      </c>
      <c r="AD8" t="s">
        <v>434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"C_ES-SH-OF_"&amp;RIGHT(C10,3)&amp;"04"</f>
        <v>C_ES-SH-OF_ELC04</v>
      </c>
      <c r="C10" t="s">
        <v>32</v>
      </c>
      <c r="D10" t="str">
        <f>$AD$6</f>
        <v>NR_ES-OF-SpHeat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NR_ES-OF-SpCool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"C_ES-SH-OF_"&amp;RIGHT(C13,3)&amp;"05"</f>
        <v>C_ES-SH-OF_ELC05</v>
      </c>
      <c r="C13" t="s">
        <v>32</v>
      </c>
      <c r="D13" t="str">
        <f>$AD$6</f>
        <v>NR_ES-OF-SpHeat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NR_ES-OF-SpCool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"C_ES-SH-OF_"&amp;RIGHT(C16,3)&amp;"06"</f>
        <v>C_ES-SH-OF_ELC06</v>
      </c>
      <c r="C16" t="s">
        <v>32</v>
      </c>
      <c r="D16" t="str">
        <f>$AD$6</f>
        <v>NR_ES-OF-SpHeat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NR_ES-OF-SpCool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"C_ES-SH-OF_"&amp;RIGHT(C19,3)&amp;"07"</f>
        <v>C_ES-SH-OF_ELC07</v>
      </c>
      <c r="C19" t="s">
        <v>32</v>
      </c>
      <c r="D19" t="str">
        <f>$AD$6</f>
        <v>NR_ES-OF-SpHeat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NR_ES-OF-SpCool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"C_ES-SH-OF_"&amp;RIGHT(C22,3)&amp;"08"</f>
        <v>C_ES-SH-OF_ELC08</v>
      </c>
      <c r="C22" t="s">
        <v>32</v>
      </c>
      <c r="D22" t="str">
        <f>$AD$6</f>
        <v>NR_ES-OF-SpHeat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 t="shared" si="0"/>
        <v>43.2</v>
      </c>
      <c r="AB22" s="23">
        <f t="shared" si="1"/>
        <v>1080</v>
      </c>
    </row>
    <row r="23" spans="2:28" x14ac:dyDescent="0.2">
      <c r="D23" t="str">
        <f>$AD$8</f>
        <v>NR_ES-OF-SpCool</v>
      </c>
      <c r="H23" s="18"/>
      <c r="I23" s="4"/>
      <c r="K23" s="4"/>
      <c r="M23" s="3"/>
      <c r="N23" s="3"/>
      <c r="P23" s="2"/>
      <c r="Q23" s="2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/>
      <c r="AB24" s="23"/>
    </row>
    <row r="25" spans="2:28" x14ac:dyDescent="0.2">
      <c r="B25" t="str">
        <f>"C_ES-SH-OF_"&amp;RIGHT(C25,3)&amp;"01"</f>
        <v>C_ES-SH-OF_GAS01</v>
      </c>
      <c r="C25" t="s">
        <v>35</v>
      </c>
      <c r="D25" t="str">
        <f>$AD$6</f>
        <v>NR_ES-OF-SpHeat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"C_ES-SH-OF_"&amp;RIGHT(C26,3)&amp;"02"</f>
        <v>C_ES-SH-OF_GAS02</v>
      </c>
      <c r="C26" t="s">
        <v>35</v>
      </c>
      <c r="D26" t="str">
        <f>$AD$6</f>
        <v>NR_ES-OF-SpHeat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"C_ES-SH-OF_"&amp;RIGHT(C27,3)&amp;"03"</f>
        <v>C_ES-SH-OF_GAS03</v>
      </c>
      <c r="C27" t="s">
        <v>35</v>
      </c>
      <c r="D27" t="str">
        <f>$AD$6</f>
        <v>NR_ES-OF-SpHeat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>
        <f>'Generalized Data'!H$119</f>
        <v>0.66300000000000003</v>
      </c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NR_ES-OF-WatHeat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"C_ES-SH-OF_"&amp;RIGHT(C29,3)&amp;"04"</f>
        <v>C_ES-SH-OF_GAS04</v>
      </c>
      <c r="C29" t="s">
        <v>35</v>
      </c>
      <c r="D29" t="str">
        <f>$AD$6</f>
        <v>NR_ES-OF-SpHeat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"C_ES-SH-OF_"&amp;RIGHT(C30,3)&amp;"05"</f>
        <v>C_ES-SH-OF_GAS05</v>
      </c>
      <c r="C30" t="s">
        <v>35</v>
      </c>
      <c r="D30" t="str">
        <f>$AD$6</f>
        <v>NR_ES-OF-SpHeat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NR_ES-OF-WatHeat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>IF(I31="","",I31)</f>
        <v/>
      </c>
      <c r="AB31" s="23" t="str">
        <f>IF(K31="","",K31)</f>
        <v/>
      </c>
    </row>
    <row r="32" spans="2:28" x14ac:dyDescent="0.2">
      <c r="B32" t="str">
        <f>"C_ES-SH-OF_"&amp;RIGHT(C32,3)&amp;"06"</f>
        <v>C_ES-SH-OF_GAS06</v>
      </c>
      <c r="C32" t="s">
        <v>35</v>
      </c>
      <c r="D32" t="str">
        <f>$AD$6</f>
        <v>NR_ES-OF-SpHeat</v>
      </c>
      <c r="F32">
        <f>Q32</f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>IF(I32="","",I32)</f>
        <v>44.64</v>
      </c>
      <c r="AB32" s="23">
        <f>IF(K32="","",K32)</f>
        <v>1116</v>
      </c>
    </row>
    <row r="33" spans="2:28" x14ac:dyDescent="0.2">
      <c r="D33" t="str">
        <f>$AD$8</f>
        <v>NR_ES-OF-SpCool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>IF(I33="","",I33)</f>
        <v/>
      </c>
      <c r="AB33" s="23" t="str">
        <f>IF(K33="","",K33)</f>
        <v/>
      </c>
    </row>
    <row r="34" spans="2:28" x14ac:dyDescent="0.2">
      <c r="B34" t="str">
        <f>"C_ES-SH-OF_"&amp;RIGHT(C34,3)&amp;"07"</f>
        <v>C_ES-SH-OF_GAS07</v>
      </c>
      <c r="C34" t="s">
        <v>35</v>
      </c>
      <c r="D34" t="str">
        <f>$AD$6</f>
        <v>NR_ES-OF-SpHeat</v>
      </c>
      <c r="F34">
        <f>Q34</f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>IF(I34="","",I34)</f>
        <v>55.440000000000005</v>
      </c>
      <c r="AB34" s="23">
        <f>IF(K34="","",K34)</f>
        <v>1386</v>
      </c>
    </row>
    <row r="35" spans="2:28" x14ac:dyDescent="0.2">
      <c r="D35" t="str">
        <f>$AD$8</f>
        <v>NR_ES-OF-SpCool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>IF(I35="","",I35)</f>
        <v/>
      </c>
      <c r="AB35" s="23" t="str">
        <f>IF(K35="","",K35)</f>
        <v/>
      </c>
    </row>
    <row r="36" spans="2:28" x14ac:dyDescent="0.2">
      <c r="B36" t="str">
        <f>"C_ES-SH-OF_"&amp;RIGHT(C36,3)&amp;"01"</f>
        <v>C_ES-SH-OF_LPG01</v>
      </c>
      <c r="C36" t="s">
        <v>65</v>
      </c>
      <c r="D36" t="str">
        <f>$AD$6</f>
        <v>NR_ES-OF-SpHeat</v>
      </c>
      <c r="F36">
        <f>Q36</f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"C_ES-SH-OF_"&amp;RIGHT(C37,3)&amp;"02"</f>
        <v>C_ES-SH-OF_LPG02</v>
      </c>
      <c r="C37" t="s">
        <v>65</v>
      </c>
      <c r="D37" t="str">
        <f>$AD$6</f>
        <v>NR_ES-OF-SpHeat</v>
      </c>
      <c r="F37">
        <f>Q37</f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NR_ES-OF-WatHeat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>IF(I38="","",I38)</f>
        <v/>
      </c>
      <c r="AB38" s="23" t="str">
        <f>IF(K38="","",K38)</f>
        <v/>
      </c>
    </row>
    <row r="39" spans="2:28" x14ac:dyDescent="0.2">
      <c r="B39" t="str">
        <f>"C_ES-SH-OF_"&amp;RIGHT(C39,3)&amp;"03"</f>
        <v>C_ES-SH-OF_LPG03</v>
      </c>
      <c r="C39" t="s">
        <v>65</v>
      </c>
      <c r="D39" t="str">
        <f>$AD$6</f>
        <v>NR_ES-OF-SpHeat</v>
      </c>
      <c r="F39">
        <f>Q39</f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>IF(I39="","",I39)</f>
        <v>44.64</v>
      </c>
      <c r="AB39" s="23">
        <f>IF(K39="","",K39)</f>
        <v>1116</v>
      </c>
    </row>
    <row r="40" spans="2:28" x14ac:dyDescent="0.2">
      <c r="D40" t="str">
        <f>$AD$8</f>
        <v>NR_ES-OF-SpCool</v>
      </c>
      <c r="H40" s="18"/>
      <c r="I40" s="4"/>
      <c r="K40" s="4"/>
      <c r="M40" s="3"/>
      <c r="N40" s="3"/>
      <c r="P40" s="2"/>
      <c r="Q40" s="2"/>
      <c r="R40" s="78"/>
      <c r="S40" s="78"/>
      <c r="AA40" s="23"/>
      <c r="AB40" s="23"/>
    </row>
    <row r="41" spans="2:28" x14ac:dyDescent="0.2">
      <c r="B41" t="str">
        <f>"C_ES-SH-OF_"&amp;RIGHT(C41,3)&amp;"01"</f>
        <v>C_ES-SH-OF_HET01</v>
      </c>
      <c r="C41" t="s">
        <v>465</v>
      </c>
      <c r="D41" t="str">
        <f>$AD$6</f>
        <v>NR_ES-OF-SpHeat</v>
      </c>
      <c r="F41">
        <f>Q41</f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  <c r="AA41" s="23"/>
      <c r="AB41" s="23"/>
    </row>
    <row r="42" spans="2:28" x14ac:dyDescent="0.2">
      <c r="D42" t="str">
        <f>$AD$7</f>
        <v>NR_ES-OF-WatHeat</v>
      </c>
      <c r="H42" s="18"/>
      <c r="I42" s="4"/>
      <c r="K42" s="4"/>
      <c r="M42" s="3"/>
      <c r="N42" s="3"/>
      <c r="P42" s="2"/>
      <c r="Q42" s="2"/>
      <c r="AA42" s="23"/>
      <c r="AB42" s="23"/>
    </row>
    <row r="43" spans="2:28" x14ac:dyDescent="0.2">
      <c r="B43" t="str">
        <f>"C_ES-SH-OF_"&amp;RIGHT(C43,3)&amp;"01"</f>
        <v>C_ES-SH-OF_OIL01</v>
      </c>
      <c r="C43" t="s">
        <v>62</v>
      </c>
      <c r="D43" t="str">
        <f>$AD$6</f>
        <v>NR_ES-OF-SpHeat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  <c r="AA43" s="23"/>
      <c r="AB43" s="23"/>
    </row>
    <row r="44" spans="2:28" x14ac:dyDescent="0.2">
      <c r="B44" t="str">
        <f>"C_ES-SH-OF_"&amp;RIGHT(C44,3)&amp;"02"</f>
        <v>C_ES-SH-OF_OIL02</v>
      </c>
      <c r="C44" t="s">
        <v>62</v>
      </c>
      <c r="D44" t="str">
        <f>$AD$6</f>
        <v>NR_ES-OF-SpHeat</v>
      </c>
      <c r="F44">
        <f>Q44</f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  <c r="AA44" s="23"/>
      <c r="AB44" s="23"/>
    </row>
    <row r="45" spans="2:28" x14ac:dyDescent="0.2">
      <c r="D45" t="str">
        <f>$AD$7</f>
        <v>NR_ES-OF-WatHeat</v>
      </c>
      <c r="H45" s="18"/>
      <c r="I45" s="4"/>
      <c r="K45" s="4"/>
      <c r="M45" s="3"/>
      <c r="N45" s="3"/>
      <c r="P45" s="2"/>
      <c r="Q45" s="2"/>
      <c r="AA45" s="23"/>
      <c r="AB45" s="23"/>
    </row>
    <row r="46" spans="2:28" x14ac:dyDescent="0.2">
      <c r="B46" t="str">
        <f>"C_ES-SH-OF_"&amp;RIGHT(C46,3)&amp;"03"</f>
        <v>C_ES-SH-OF_OIL03</v>
      </c>
      <c r="C46" t="s">
        <v>62</v>
      </c>
      <c r="D46" t="str">
        <f>$AD$6</f>
        <v>NR_ES-OF-SpHeat</v>
      </c>
      <c r="F46">
        <f>Q46</f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Data'!H130</f>
        <v>0.38</v>
      </c>
      <c r="P46" s="2">
        <f>'Generalized Data'!M$130</f>
        <v>20</v>
      </c>
      <c r="Q46" s="94">
        <v>2011</v>
      </c>
      <c r="AA46" s="23"/>
      <c r="AB46" s="23"/>
    </row>
    <row r="47" spans="2:28" x14ac:dyDescent="0.2">
      <c r="D47" t="str">
        <f>$AD$7</f>
        <v>NR_ES-OF-WatHeat</v>
      </c>
      <c r="H47" s="18"/>
      <c r="I47" s="4"/>
      <c r="K47" s="4"/>
      <c r="M47" s="3"/>
      <c r="N47" s="3"/>
      <c r="P47" s="2"/>
      <c r="Q47" s="2"/>
      <c r="AA47" s="23"/>
      <c r="AB47" s="23"/>
    </row>
    <row r="48" spans="2:28" x14ac:dyDescent="0.2">
      <c r="B48" t="str">
        <f>"C_ES-SH-OF_"&amp;RIGHT(C48,3)&amp;"09"</f>
        <v>C_ES-SH-OF_ELC09</v>
      </c>
      <c r="C48" t="s">
        <v>32</v>
      </c>
      <c r="D48" t="str">
        <f>$AD$6</f>
        <v>NR_ES-OF-SpHeat</v>
      </c>
      <c r="F48">
        <f>Q48</f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Data'!H131</f>
        <v>1.0731707317073171</v>
      </c>
      <c r="P48" s="2">
        <f>'Generalized Data'!M$131</f>
        <v>20</v>
      </c>
      <c r="Q48" s="94">
        <v>2011</v>
      </c>
      <c r="R48" s="78"/>
      <c r="S48" s="78"/>
      <c r="T48" s="78"/>
      <c r="U48" s="78"/>
      <c r="V48" s="78"/>
      <c r="AA48" s="23"/>
      <c r="AB48" s="23"/>
    </row>
    <row r="49" spans="1:90" x14ac:dyDescent="0.2">
      <c r="C49" t="s">
        <v>63</v>
      </c>
      <c r="D49" t="str">
        <f>$AD$7</f>
        <v>NR_ES-OF-WatHeat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  <c r="R49" s="78"/>
      <c r="S49" s="78"/>
      <c r="T49" s="78"/>
      <c r="U49" s="78"/>
      <c r="V49" s="78"/>
      <c r="AA49" s="23"/>
      <c r="AB49" s="23"/>
    </row>
    <row r="50" spans="1:90" x14ac:dyDescent="0.2">
      <c r="B50" t="str">
        <f>"C_ES-SH-OF_"&amp;RIGHT(C50,3)&amp;"04"</f>
        <v>C_ES-SH-OF_OIL04</v>
      </c>
      <c r="C50" t="s">
        <v>62</v>
      </c>
      <c r="D50" t="str">
        <f>$AD$6</f>
        <v>NR_ES-OF-SpHeat</v>
      </c>
      <c r="F50">
        <f>Q50</f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Data'!H132</f>
        <v>0.65853658536585369</v>
      </c>
      <c r="P50" s="2">
        <f>'Generalized Data'!M$132</f>
        <v>20</v>
      </c>
      <c r="Q50" s="94">
        <v>2011</v>
      </c>
      <c r="R50" s="78"/>
      <c r="S50" s="78"/>
      <c r="T50" s="78"/>
      <c r="U50" s="78"/>
      <c r="V50" s="78"/>
      <c r="AA50" s="23"/>
      <c r="AB50" s="23"/>
    </row>
    <row r="51" spans="1:90" x14ac:dyDescent="0.2">
      <c r="C51" t="s">
        <v>63</v>
      </c>
      <c r="D51" t="str">
        <f>$AD$7</f>
        <v>NR_ES-OF-WatHeat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  <c r="R51" s="78"/>
      <c r="S51" s="78"/>
      <c r="T51" s="78"/>
      <c r="U51" s="78"/>
      <c r="V51" s="78"/>
      <c r="AA51" s="23"/>
      <c r="AB51" s="23"/>
    </row>
    <row r="52" spans="1:90" x14ac:dyDescent="0.2">
      <c r="B52" t="str">
        <f>"C_ES-SH-OF_"&amp;RIGHT(C52,3)&amp;"08"</f>
        <v>C_ES-SH-OF_GAS08</v>
      </c>
      <c r="C52" t="s">
        <v>35</v>
      </c>
      <c r="D52" t="str">
        <f>$AD$6</f>
        <v>NR_ES-OF-SpHeat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Data'!H133</f>
        <v>0.65853658536585369</v>
      </c>
      <c r="P52" s="2">
        <f>'Generalized Data'!M$133</f>
        <v>20</v>
      </c>
      <c r="Q52" s="94">
        <v>2011</v>
      </c>
      <c r="R52" s="78"/>
      <c r="S52" s="78"/>
      <c r="T52" s="78"/>
      <c r="U52" s="78"/>
      <c r="V52" s="78"/>
      <c r="AA52" s="23"/>
      <c r="AB52" s="23"/>
    </row>
    <row r="53" spans="1:90" x14ac:dyDescent="0.2">
      <c r="C53" t="s">
        <v>63</v>
      </c>
      <c r="D53" t="str">
        <f>$AD$7</f>
        <v>NR_ES-OF-WatHeat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  <c r="R53" s="78"/>
      <c r="S53" s="78"/>
      <c r="T53" s="78"/>
      <c r="U53" s="78"/>
      <c r="V53" s="78"/>
      <c r="AA53" s="23"/>
      <c r="AB53" s="23"/>
    </row>
    <row r="54" spans="1:90" x14ac:dyDescent="0.2">
      <c r="B54" t="str">
        <f>"C_ES-SH-OF_"&amp;RIGHT(C54,3)&amp;"01"</f>
        <v>C_ES-SH-OF_BIO01</v>
      </c>
      <c r="C54" t="s">
        <v>64</v>
      </c>
      <c r="D54" t="str">
        <f>$AD$6</f>
        <v>NR_ES-OF-SpHeat</v>
      </c>
      <c r="F54">
        <f>Q54</f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  <c r="R54" s="78"/>
      <c r="S54" s="78"/>
      <c r="T54" s="78"/>
      <c r="U54" s="78"/>
      <c r="V54" s="78"/>
      <c r="AA54" s="23"/>
      <c r="AB54" s="23"/>
    </row>
    <row r="55" spans="1:90" x14ac:dyDescent="0.2">
      <c r="D55" t="str">
        <f>$AD$7</f>
        <v>NR_ES-OF-WatHeat</v>
      </c>
      <c r="H55" s="18"/>
      <c r="I55" s="4"/>
      <c r="K55" s="4"/>
      <c r="M55" s="3"/>
      <c r="N55" s="3"/>
      <c r="P55" s="2"/>
      <c r="Q55" s="2"/>
      <c r="R55" s="78"/>
      <c r="S55" s="78"/>
      <c r="T55" s="78"/>
      <c r="U55" s="78"/>
      <c r="V55" s="78"/>
      <c r="AA55" s="23"/>
      <c r="AB55" s="23"/>
    </row>
    <row r="56" spans="1:90" x14ac:dyDescent="0.2"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463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CEFF~NR_ES-OF-WatHeat</v>
      </c>
      <c r="L59" s="9" t="str">
        <f>CONCATENATE("CEFF~",AD8)</f>
        <v>CEFF~NR_ES-OF-SpCool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107"/>
      <c r="AL59" s="107"/>
      <c r="AM59" s="107"/>
      <c r="AN59" s="107"/>
      <c r="AO59" s="107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"C_ES-WH-OF_"&amp;RIGHT(C60,3)&amp;"01"</f>
        <v>C_ES-WH-OF_BIO01</v>
      </c>
      <c r="C60" t="s">
        <v>64</v>
      </c>
      <c r="D60" t="str">
        <f>$AD$7</f>
        <v>NR_ES-OF-WatHeat</v>
      </c>
      <c r="E60">
        <f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</row>
    <row r="61" spans="1:90" x14ac:dyDescent="0.2">
      <c r="B61" t="str">
        <f>"C_ES-WH-OF_"&amp;RIGHT(C61,3)&amp;"01"</f>
        <v>C_ES-WH-OF_ELC01</v>
      </c>
      <c r="C61" t="s">
        <v>32</v>
      </c>
      <c r="D61" t="str">
        <f>$AD$7</f>
        <v>NR_ES-OF-WatHeat</v>
      </c>
      <c r="E61">
        <f t="shared" ref="E61:E72" si="2">Q61</f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</row>
    <row r="62" spans="1:90" x14ac:dyDescent="0.2">
      <c r="B62" t="str">
        <f>"C_ES-WH-OF_"&amp;RIGHT(C62,3)&amp;"02"</f>
        <v>C_ES-WH-OF_ELC02</v>
      </c>
      <c r="C62" t="s">
        <v>32</v>
      </c>
      <c r="D62" t="str">
        <f>$AD$7</f>
        <v>NR_ES-OF-WatHeat</v>
      </c>
      <c r="E62">
        <f t="shared" si="2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</row>
    <row r="64" spans="1:90" x14ac:dyDescent="0.2">
      <c r="B64" t="str">
        <f>"C_ES-WH-OF_"&amp;RIGHT(C64,3)&amp;"01"</f>
        <v>C_ES-WH-OF_GAS01</v>
      </c>
      <c r="C64" t="s">
        <v>35</v>
      </c>
      <c r="D64" t="str">
        <f>$AD$7</f>
        <v>NR_ES-OF-WatHeat</v>
      </c>
      <c r="E64">
        <f t="shared" si="2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</row>
    <row r="65" spans="1:90" x14ac:dyDescent="0.2">
      <c r="B65" t="str">
        <f>"C_ES-WH-OF_"&amp;RIGHT(C65,3)&amp;"01"</f>
        <v>C_ES-WH-OF_GEO01</v>
      </c>
      <c r="C65" t="s">
        <v>33</v>
      </c>
      <c r="D65" t="str">
        <f>$AD$7</f>
        <v>NR_ES-OF-WatHeat</v>
      </c>
      <c r="E65">
        <f t="shared" si="2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</row>
    <row r="66" spans="1:90" x14ac:dyDescent="0.2">
      <c r="B66" t="str">
        <f>"C_ES-WH-OF_"&amp;RIGHT(C66,3)&amp;"01"</f>
        <v>C_ES-WH-OF_LPG01</v>
      </c>
      <c r="C66" t="s">
        <v>65</v>
      </c>
      <c r="D66" t="str">
        <f>$AD$7</f>
        <v>NR_ES-OF-WatHeat</v>
      </c>
      <c r="E66">
        <f t="shared" si="2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</row>
    <row r="67" spans="1:90" x14ac:dyDescent="0.2">
      <c r="B67" t="str">
        <f>"C_ES-WH-OF_"&amp;RIGHT(C67,3)&amp;"01"</f>
        <v>C_ES-WH-OF_OIL01</v>
      </c>
      <c r="C67" t="s">
        <v>62</v>
      </c>
      <c r="D67" t="str">
        <f>$AD$7</f>
        <v>NR_ES-OF-WatHeat</v>
      </c>
      <c r="E67">
        <f t="shared" si="2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</row>
    <row r="68" spans="1:90" x14ac:dyDescent="0.2">
      <c r="B68" t="str">
        <f>"C_ES-WH-OF_"&amp;RIGHT(C68,3)&amp;"03"</f>
        <v>C_ES-WH-OF_ELC03</v>
      </c>
      <c r="C68" t="s">
        <v>32</v>
      </c>
      <c r="D68" t="str">
        <f>$AD$7</f>
        <v>NR_ES-OF-WatHeat</v>
      </c>
      <c r="E68">
        <f t="shared" si="2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</row>
    <row r="69" spans="1:90" x14ac:dyDescent="0.2">
      <c r="C69" t="s">
        <v>63</v>
      </c>
      <c r="G69" s="18"/>
      <c r="H69" s="4"/>
      <c r="I69" s="4"/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</row>
    <row r="70" spans="1:90" x14ac:dyDescent="0.2">
      <c r="B70" t="str">
        <f>"C_ES-WH-OF_"&amp;RIGHT(C70,3)&amp;"02"</f>
        <v>C_ES-WH-OF_OIL02</v>
      </c>
      <c r="C70" t="s">
        <v>62</v>
      </c>
      <c r="D70" t="str">
        <f>$AD$7</f>
        <v>NR_ES-OF-WatHeat</v>
      </c>
      <c r="E70">
        <f t="shared" si="2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</row>
    <row r="71" spans="1:90" x14ac:dyDescent="0.2">
      <c r="C71" t="s">
        <v>63</v>
      </c>
      <c r="G71" s="18"/>
      <c r="H71" s="4"/>
      <c r="I71" s="4"/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</row>
    <row r="72" spans="1:90" x14ac:dyDescent="0.2">
      <c r="B72" t="str">
        <f>"C_ES-WH-OF_"&amp;RIGHT(C72,3)&amp;"02"</f>
        <v>C_ES-WH-OF_GAS02</v>
      </c>
      <c r="C72" t="s">
        <v>35</v>
      </c>
      <c r="D72" t="str">
        <f>$AD$7</f>
        <v>NR_ES-OF-WatHeat</v>
      </c>
      <c r="E72">
        <f t="shared" si="2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</row>
    <row r="73" spans="1:90" x14ac:dyDescent="0.2">
      <c r="C73" t="s">
        <v>63</v>
      </c>
      <c r="G73" s="18"/>
      <c r="H73" s="4"/>
      <c r="I73" s="4"/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</row>
    <row r="74" spans="1:90" x14ac:dyDescent="0.2">
      <c r="G74" s="18"/>
      <c r="H74" s="4"/>
      <c r="I74" s="4"/>
      <c r="J74" s="3"/>
      <c r="K74" s="3"/>
      <c r="L74" s="3"/>
      <c r="N74" s="21"/>
      <c r="R74" s="112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</row>
    <row r="75" spans="1:90" x14ac:dyDescent="0.2">
      <c r="A75" s="6" t="s">
        <v>233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</row>
    <row r="76" spans="1:90" x14ac:dyDescent="0.2">
      <c r="B76" s="1"/>
      <c r="E76" s="1" t="s">
        <v>15</v>
      </c>
      <c r="G76" s="2"/>
      <c r="H76" s="5"/>
      <c r="I76" s="4"/>
      <c r="J76" s="3"/>
      <c r="K76" s="3"/>
      <c r="L76" s="3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</row>
    <row r="77" spans="1:90" ht="39" thickBot="1" x14ac:dyDescent="0.25">
      <c r="A77" s="7" t="s">
        <v>16</v>
      </c>
      <c r="B77" s="7" t="s">
        <v>17</v>
      </c>
      <c r="C77" s="8" t="s">
        <v>19</v>
      </c>
      <c r="D77" s="8" t="s">
        <v>20</v>
      </c>
      <c r="E77" s="8" t="s">
        <v>21</v>
      </c>
      <c r="F77" s="9" t="s">
        <v>463</v>
      </c>
      <c r="G77" s="10" t="s">
        <v>23</v>
      </c>
      <c r="H77" s="12" t="s">
        <v>24</v>
      </c>
      <c r="I77" s="13" t="s">
        <v>25</v>
      </c>
      <c r="J77" s="11" t="s">
        <v>258</v>
      </c>
      <c r="K77" s="9" t="str">
        <f>CONCATENATE("CEFF~",AD7)</f>
        <v>CEFF~NR_ES-OF-WatHeat</v>
      </c>
      <c r="L77" s="9" t="str">
        <f>CONCATENATE("CEFF~",AD8)</f>
        <v>CEFF~NR_ES-OF-SpCool</v>
      </c>
      <c r="M77" s="10" t="s">
        <v>27</v>
      </c>
      <c r="N77" s="10" t="s">
        <v>28</v>
      </c>
      <c r="O77" s="10" t="s">
        <v>227</v>
      </c>
      <c r="P77" s="10" t="s">
        <v>26</v>
      </c>
      <c r="Q77" s="10" t="s">
        <v>29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106"/>
      <c r="AJ77" s="107"/>
      <c r="AK77" s="107"/>
      <c r="AL77" s="107"/>
      <c r="AM77" s="107"/>
      <c r="AN77" s="107"/>
      <c r="AO77" s="107"/>
      <c r="AP77" s="33"/>
      <c r="AQ77" s="33"/>
      <c r="AR77" s="33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</row>
    <row r="78" spans="1:90" x14ac:dyDescent="0.2">
      <c r="B78" t="str">
        <f>"C_ES-SC-OF_"&amp;RIGHT(C78,3)&amp;"01"</f>
        <v>C_ES-SC-OF_ELC01</v>
      </c>
      <c r="C78" t="s">
        <v>32</v>
      </c>
      <c r="D78" t="str">
        <f t="shared" ref="D78:D84" si="3">$AD$8</f>
        <v>NR_ES-OF-SpCool</v>
      </c>
      <c r="E78">
        <f t="shared" ref="E78:E84" si="4">Q78</f>
        <v>2011</v>
      </c>
      <c r="F78">
        <v>1</v>
      </c>
      <c r="G78" s="18">
        <f>'Generalized Data'!$C$3</f>
        <v>6.3071999999999999</v>
      </c>
      <c r="H78" s="4">
        <f>'Generalized Data'!C149</f>
        <v>24.05</v>
      </c>
      <c r="I78" s="4">
        <f>'Generalized Data'!E149</f>
        <v>481</v>
      </c>
      <c r="J78" s="3">
        <f>'Generalized Data'!G149</f>
        <v>3</v>
      </c>
      <c r="K78" s="3"/>
      <c r="L78" s="3"/>
      <c r="M78" s="4"/>
      <c r="N78" s="4"/>
      <c r="O78" s="4"/>
      <c r="P78" s="2">
        <f>'Generalized Data'!M149</f>
        <v>10</v>
      </c>
      <c r="Q78" s="94">
        <v>2011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</row>
    <row r="79" spans="1:90" x14ac:dyDescent="0.2">
      <c r="B79" t="str">
        <f>"C_ES-SC-OF_"&amp;RIGHT(C79,3)&amp;"02"</f>
        <v>C_ES-SC-OF_ELC02</v>
      </c>
      <c r="C79" t="s">
        <v>32</v>
      </c>
      <c r="D79" t="str">
        <f t="shared" si="3"/>
        <v>NR_ES-OF-SpCool</v>
      </c>
      <c r="E79">
        <f t="shared" si="4"/>
        <v>2011</v>
      </c>
      <c r="F79">
        <v>1</v>
      </c>
      <c r="G79" s="18">
        <f>'Generalized Data'!$C$3</f>
        <v>6.3071999999999999</v>
      </c>
      <c r="H79" s="4">
        <f>'Generalized Data'!C150</f>
        <v>7.5994827479999998</v>
      </c>
      <c r="I79" s="4">
        <f>'Generalized Data'!E150</f>
        <v>151.98965496</v>
      </c>
      <c r="J79" s="3">
        <f>'Generalized Data'!G150</f>
        <v>0.4</v>
      </c>
      <c r="K79" s="3"/>
      <c r="L79" s="3"/>
      <c r="M79" s="4"/>
      <c r="N79" s="4"/>
      <c r="O79" s="4"/>
      <c r="P79" s="2">
        <f>'Generalized Data'!M150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</row>
    <row r="80" spans="1:90" x14ac:dyDescent="0.2">
      <c r="B80" t="str">
        <f>"C_ES-SC-OF_"&amp;RIGHT(C80,3)&amp;"03"</f>
        <v>C_ES-SC-OF_ELC03</v>
      </c>
      <c r="C80" t="s">
        <v>32</v>
      </c>
      <c r="D80" t="str">
        <f t="shared" si="3"/>
        <v>NR_ES-OF-SpCool</v>
      </c>
      <c r="E80">
        <f t="shared" si="4"/>
        <v>2011</v>
      </c>
      <c r="F80">
        <v>1</v>
      </c>
      <c r="G80" s="18">
        <f>'Generalized Data'!$C$3</f>
        <v>6.3071999999999999</v>
      </c>
      <c r="H80" s="4">
        <f>'Generalized Data'!C151</f>
        <v>0.72955034380799999</v>
      </c>
      <c r="I80" s="4">
        <f>'Generalized Data'!E151</f>
        <v>91.193792975999997</v>
      </c>
      <c r="J80" s="3">
        <f>'Generalized Data'!G151</f>
        <v>3.1</v>
      </c>
      <c r="K80" s="3"/>
      <c r="L80" s="3"/>
      <c r="M80" s="4"/>
      <c r="N80" s="4"/>
      <c r="O80" s="4"/>
      <c r="P80" s="2">
        <f>'Generalized Data'!M151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</row>
    <row r="81" spans="2:41" x14ac:dyDescent="0.2">
      <c r="B81" t="str">
        <f>"C_ES-SC-OF_"&amp;RIGHT(C81,3)&amp;"04"</f>
        <v>C_ES-SC-OF_ELC04</v>
      </c>
      <c r="C81" t="s">
        <v>32</v>
      </c>
      <c r="D81" t="str">
        <f t="shared" si="3"/>
        <v>NR_ES-OF-SpCool</v>
      </c>
      <c r="E81">
        <f t="shared" si="4"/>
        <v>2011</v>
      </c>
      <c r="F81">
        <v>1</v>
      </c>
      <c r="G81" s="18">
        <f>'Generalized Data'!$C$4</f>
        <v>31.536000000000001</v>
      </c>
      <c r="H81" s="4">
        <f>'Generalized Data'!C152</f>
        <v>2.6640000000000001</v>
      </c>
      <c r="I81" s="4">
        <f>'Generalized Data'!E152</f>
        <v>333</v>
      </c>
      <c r="J81" s="3">
        <f>'Generalized Data'!G152</f>
        <v>2.93</v>
      </c>
      <c r="K81" s="3"/>
      <c r="L81" s="3"/>
      <c r="M81" s="4"/>
      <c r="N81" s="4"/>
      <c r="O81" s="4"/>
      <c r="P81" s="2">
        <f>'Generalized Data'!M152</f>
        <v>15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</row>
    <row r="82" spans="2:41" x14ac:dyDescent="0.2">
      <c r="B82" t="str">
        <f>"C_ES-SC-OF_"&amp;RIGHT(C82,3)&amp;"05"</f>
        <v>C_ES-SC-OF_ELC05</v>
      </c>
      <c r="C82" t="s">
        <v>32</v>
      </c>
      <c r="D82" t="str">
        <f t="shared" si="3"/>
        <v>NR_ES-OF-SpCool</v>
      </c>
      <c r="E82">
        <f t="shared" si="4"/>
        <v>2011</v>
      </c>
      <c r="F82">
        <v>1</v>
      </c>
      <c r="G82" s="18">
        <f>'Generalized Data'!$C$4</f>
        <v>31.536000000000001</v>
      </c>
      <c r="H82" s="4">
        <f>'Generalized Data'!C153</f>
        <v>2.1796442370559999</v>
      </c>
      <c r="I82" s="4">
        <f>'Generalized Data'!E153</f>
        <v>272.45552963199998</v>
      </c>
      <c r="J82" s="3">
        <f>'Generalized Data'!G153</f>
        <v>2.75</v>
      </c>
      <c r="K82" s="3"/>
      <c r="L82" s="3"/>
      <c r="M82" s="4"/>
      <c r="N82" s="4"/>
      <c r="O82" s="4"/>
      <c r="P82" s="2">
        <f>'Generalized Data'!M153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</row>
    <row r="83" spans="2:41" x14ac:dyDescent="0.2">
      <c r="B83" t="str">
        <f>"C_ES-SC-OF_"&amp;RIGHT(C83,3)&amp;"01"</f>
        <v>C_ES-SC-OF_GAS01</v>
      </c>
      <c r="C83" t="s">
        <v>35</v>
      </c>
      <c r="D83" t="str">
        <f t="shared" si="3"/>
        <v>NR_ES-OF-SpCool</v>
      </c>
      <c r="E83">
        <f t="shared" si="4"/>
        <v>2011</v>
      </c>
      <c r="F83">
        <v>1</v>
      </c>
      <c r="G83" s="18">
        <f>'Generalized Data'!$C$4</f>
        <v>31.536000000000001</v>
      </c>
      <c r="H83" s="4">
        <f>'Generalized Data'!C154</f>
        <v>97.048209315199998</v>
      </c>
      <c r="I83" s="4">
        <f>'Generalized Data'!E154</f>
        <v>1940.9641863039999</v>
      </c>
      <c r="J83" s="3">
        <f>'Generalized Data'!G154</f>
        <v>4.41</v>
      </c>
      <c r="K83" s="3"/>
      <c r="L83" s="3"/>
      <c r="M83" s="4"/>
      <c r="N83" s="4"/>
      <c r="O83" s="4"/>
      <c r="P83" s="2">
        <f>'Generalized Data'!M154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</row>
    <row r="84" spans="2:41" x14ac:dyDescent="0.2">
      <c r="B84" t="str">
        <f>"C_ES-SC-OF_"&amp;RIGHT(C84,3)&amp;"02"</f>
        <v>C_ES-SC-OF_GAS02</v>
      </c>
      <c r="C84" t="s">
        <v>35</v>
      </c>
      <c r="D84" t="str">
        <f t="shared" si="3"/>
        <v>NR_ES-OF-SpCool</v>
      </c>
      <c r="E84">
        <f t="shared" si="4"/>
        <v>2011</v>
      </c>
      <c r="F84">
        <v>1</v>
      </c>
      <c r="G84" s="18">
        <f>'Generalized Data'!$C$4</f>
        <v>31.536000000000001</v>
      </c>
      <c r="H84" s="4">
        <f>'Generalized Data'!C155</f>
        <v>69.127146774400003</v>
      </c>
      <c r="I84" s="4">
        <f>'Generalized Data'!E155</f>
        <v>1382.542935488</v>
      </c>
      <c r="J84" s="3">
        <f>'Generalized Data'!G155</f>
        <v>1.0349999999999999</v>
      </c>
      <c r="K84" s="3"/>
      <c r="L84" s="3"/>
      <c r="M84" s="4"/>
      <c r="N84" s="4"/>
      <c r="O84" s="4"/>
      <c r="P84" s="2">
        <f>'Generalized Data'!M155</f>
        <v>15</v>
      </c>
      <c r="Q84" s="94">
        <v>2011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</row>
    <row r="85" spans="2:41" x14ac:dyDescent="0.2">
      <c r="G85" s="18"/>
      <c r="H85" s="4"/>
      <c r="I85" s="4"/>
      <c r="J85" s="3"/>
      <c r="K85" s="3"/>
      <c r="L85" s="3"/>
      <c r="M85" s="4"/>
      <c r="N85" s="4"/>
      <c r="O85" s="4"/>
      <c r="P85" s="2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</row>
    <row r="86" spans="2:41" x14ac:dyDescent="0.2"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</row>
    <row r="87" spans="2:41" x14ac:dyDescent="0.2"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</row>
    <row r="88" spans="2:41" x14ac:dyDescent="0.2"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</row>
    <row r="89" spans="2:41" x14ac:dyDescent="0.2"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</row>
    <row r="90" spans="2:41" x14ac:dyDescent="0.2"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</row>
    <row r="91" spans="2:41" x14ac:dyDescent="0.2"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</row>
    <row r="92" spans="2:41" x14ac:dyDescent="0.2">
      <c r="G92" s="18"/>
      <c r="H92" s="4"/>
      <c r="I92" s="4"/>
      <c r="J92" s="3"/>
      <c r="K92" s="3"/>
      <c r="L92" s="3"/>
      <c r="M92" s="4"/>
      <c r="N92" s="4"/>
      <c r="O92" s="4"/>
      <c r="P92" s="2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</row>
    <row r="93" spans="2:41" x14ac:dyDescent="0.2"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</row>
    <row r="94" spans="2:41" x14ac:dyDescent="0.2"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</row>
    <row r="95" spans="2:41" x14ac:dyDescent="0.2"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</row>
    <row r="96" spans="2:41" x14ac:dyDescent="0.2"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</row>
    <row r="97" spans="18:41" x14ac:dyDescent="0.2"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</row>
    <row r="98" spans="18:41" x14ac:dyDescent="0.2"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</row>
    <row r="99" spans="18:41" x14ac:dyDescent="0.2"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</row>
    <row r="100" spans="18:41" x14ac:dyDescent="0.2"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</row>
    <row r="101" spans="18:41" x14ac:dyDescent="0.2"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</row>
    <row r="102" spans="18:41" x14ac:dyDescent="0.2"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</row>
    <row r="103" spans="18:41" x14ac:dyDescent="0.2"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</row>
    <row r="104" spans="18:41" x14ac:dyDescent="0.2"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</row>
    <row r="105" spans="18:41" x14ac:dyDescent="0.2"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</row>
    <row r="106" spans="18:41" x14ac:dyDescent="0.2"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</row>
    <row r="107" spans="18:41" x14ac:dyDescent="0.2"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</row>
    <row r="108" spans="18:41" x14ac:dyDescent="0.2"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</row>
    <row r="109" spans="18:41" x14ac:dyDescent="0.2"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</row>
    <row r="110" spans="18:41" x14ac:dyDescent="0.2"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</row>
    <row r="111" spans="18:41" x14ac:dyDescent="0.2"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</row>
    <row r="112" spans="18:41" x14ac:dyDescent="0.2"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</row>
    <row r="113" spans="18:41" x14ac:dyDescent="0.2"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</row>
    <row r="114" spans="18:41" x14ac:dyDescent="0.2"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</row>
    <row r="115" spans="18:41" x14ac:dyDescent="0.2"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</row>
    <row r="116" spans="18:41" x14ac:dyDescent="0.2"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</row>
    <row r="117" spans="18:41" x14ac:dyDescent="0.2"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</row>
    <row r="118" spans="18:41" x14ac:dyDescent="0.2"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</row>
    <row r="119" spans="18:41" x14ac:dyDescent="0.2"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</row>
    <row r="120" spans="18:41" x14ac:dyDescent="0.2"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</row>
    <row r="121" spans="18:41" x14ac:dyDescent="0.2"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</row>
    <row r="122" spans="18:41" x14ac:dyDescent="0.2"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</row>
    <row r="123" spans="18:41" x14ac:dyDescent="0.2"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</row>
    <row r="124" spans="18:41" x14ac:dyDescent="0.2"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</row>
    <row r="125" spans="18:41" x14ac:dyDescent="0.2"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</row>
    <row r="126" spans="18:41" x14ac:dyDescent="0.2"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</row>
    <row r="127" spans="18:41" x14ac:dyDescent="0.2"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</row>
    <row r="128" spans="18:41" x14ac:dyDescent="0.2"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</row>
    <row r="129" spans="18:41" x14ac:dyDescent="0.2"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</row>
    <row r="130" spans="18:41" x14ac:dyDescent="0.2"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</row>
    <row r="131" spans="18:41" x14ac:dyDescent="0.2"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</row>
    <row r="132" spans="18:41" x14ac:dyDescent="0.2"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</row>
    <row r="133" spans="18:41" x14ac:dyDescent="0.2"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</row>
    <row r="134" spans="18:41" x14ac:dyDescent="0.2"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</row>
    <row r="135" spans="18:41" x14ac:dyDescent="0.2"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</row>
    <row r="136" spans="18:41" x14ac:dyDescent="0.2"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</row>
    <row r="137" spans="18:41" x14ac:dyDescent="0.2"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</row>
    <row r="138" spans="18:41" x14ac:dyDescent="0.2"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</row>
    <row r="139" spans="18:41" x14ac:dyDescent="0.2"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</row>
    <row r="140" spans="18:41" x14ac:dyDescent="0.2"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</row>
    <row r="141" spans="18:41" x14ac:dyDescent="0.2"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</row>
    <row r="142" spans="18:41" x14ac:dyDescent="0.2"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</row>
    <row r="143" spans="18:41" x14ac:dyDescent="0.2"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</row>
    <row r="144" spans="18:41" x14ac:dyDescent="0.2"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</row>
    <row r="145" spans="18:41" x14ac:dyDescent="0.2"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</row>
    <row r="146" spans="18:41" x14ac:dyDescent="0.2"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</row>
    <row r="147" spans="18:41" x14ac:dyDescent="0.2"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</row>
    <row r="148" spans="18:41" x14ac:dyDescent="0.2"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</row>
    <row r="149" spans="18:41" x14ac:dyDescent="0.2"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</row>
    <row r="150" spans="18:41" x14ac:dyDescent="0.2"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</row>
    <row r="151" spans="18:41" x14ac:dyDescent="0.2"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</row>
    <row r="152" spans="18:41" x14ac:dyDescent="0.2"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</row>
    <row r="153" spans="18:41" x14ac:dyDescent="0.2"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</row>
    <row r="154" spans="18:41" x14ac:dyDescent="0.2"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</row>
    <row r="155" spans="18:41" x14ac:dyDescent="0.2"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</row>
    <row r="156" spans="18:41" x14ac:dyDescent="0.2"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</row>
    <row r="157" spans="18:41" x14ac:dyDescent="0.2"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</row>
    <row r="158" spans="18:41" x14ac:dyDescent="0.2"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2"/>
  <sheetViews>
    <sheetView zoomScaleNormal="100" workbookViewId="0"/>
  </sheetViews>
  <sheetFormatPr defaultRowHeight="12.75" x14ac:dyDescent="0.2"/>
  <cols>
    <col min="1" max="1" width="16.140625" customWidth="1"/>
    <col min="7" max="7" width="15" customWidth="1"/>
    <col min="10" max="10" width="12.5703125" customWidth="1"/>
  </cols>
  <sheetData>
    <row r="3" spans="1:12" x14ac:dyDescent="0.2">
      <c r="B3" t="s">
        <v>182</v>
      </c>
      <c r="C3">
        <f>24*365</f>
        <v>8760</v>
      </c>
      <c r="D3" t="s">
        <v>183</v>
      </c>
      <c r="G3" t="s">
        <v>184</v>
      </c>
      <c r="H3">
        <v>53</v>
      </c>
      <c r="I3" t="s">
        <v>185</v>
      </c>
      <c r="J3">
        <f>H3/150</f>
        <v>0.35333333333333333</v>
      </c>
      <c r="K3" t="s">
        <v>186</v>
      </c>
      <c r="L3">
        <f>J3/12</f>
        <v>2.9444444444444443E-2</v>
      </c>
    </row>
    <row r="4" spans="1:12" x14ac:dyDescent="0.2">
      <c r="G4" t="s">
        <v>187</v>
      </c>
      <c r="H4">
        <f>0.3*0.5</f>
        <v>0.15</v>
      </c>
    </row>
    <row r="5" spans="1:12" x14ac:dyDescent="0.2">
      <c r="H5" s="23">
        <f>H3/H4</f>
        <v>353.33333333333337</v>
      </c>
      <c r="I5" t="s">
        <v>185</v>
      </c>
    </row>
    <row r="6" spans="1:12" x14ac:dyDescent="0.2">
      <c r="G6" t="s">
        <v>188</v>
      </c>
      <c r="H6" s="23">
        <f>H5/0.5</f>
        <v>706.66666666666674</v>
      </c>
      <c r="K6" t="s">
        <v>189</v>
      </c>
      <c r="L6">
        <f>(H3/0.5)/C12</f>
        <v>0.16806189751395234</v>
      </c>
    </row>
    <row r="7" spans="1:12" x14ac:dyDescent="0.2">
      <c r="B7" t="s">
        <v>190</v>
      </c>
      <c r="C7">
        <v>3.5999999999999999E-3</v>
      </c>
      <c r="D7" t="s">
        <v>191</v>
      </c>
    </row>
    <row r="8" spans="1:12" x14ac:dyDescent="0.2">
      <c r="B8" t="s">
        <v>190</v>
      </c>
      <c r="C8">
        <f>C7*C3</f>
        <v>31.535999999999998</v>
      </c>
      <c r="D8" t="s">
        <v>192</v>
      </c>
    </row>
    <row r="9" spans="1:12" x14ac:dyDescent="0.2">
      <c r="B9" t="s">
        <v>190</v>
      </c>
      <c r="C9">
        <f>C8/10^6</f>
        <v>3.1535999999999998E-5</v>
      </c>
      <c r="D9" t="s">
        <v>193</v>
      </c>
      <c r="G9" t="s">
        <v>194</v>
      </c>
      <c r="H9">
        <v>11</v>
      </c>
      <c r="I9" t="s">
        <v>185</v>
      </c>
      <c r="K9" t="s">
        <v>189</v>
      </c>
      <c r="L9">
        <f>(H9/0.8)/C19</f>
        <v>0.21800481988838155</v>
      </c>
    </row>
    <row r="10" spans="1:12" x14ac:dyDescent="0.2">
      <c r="G10" t="s">
        <v>195</v>
      </c>
      <c r="H10">
        <f>6/24</f>
        <v>0.25</v>
      </c>
    </row>
    <row r="11" spans="1:12" x14ac:dyDescent="0.2">
      <c r="A11">
        <v>30</v>
      </c>
      <c r="B11" t="s">
        <v>196</v>
      </c>
      <c r="C11">
        <f>C$8*A11</f>
        <v>946.07999999999993</v>
      </c>
      <c r="D11" t="s">
        <v>192</v>
      </c>
      <c r="H11" s="23">
        <f>H9/H10</f>
        <v>44</v>
      </c>
      <c r="I11" t="s">
        <v>185</v>
      </c>
    </row>
    <row r="12" spans="1:12" x14ac:dyDescent="0.2">
      <c r="A12">
        <v>20</v>
      </c>
      <c r="B12" t="s">
        <v>196</v>
      </c>
      <c r="C12">
        <f>C$8*A12</f>
        <v>630.71999999999991</v>
      </c>
      <c r="D12" t="s">
        <v>192</v>
      </c>
      <c r="G12" t="s">
        <v>188</v>
      </c>
      <c r="H12" s="23">
        <f>H11/0.5</f>
        <v>88</v>
      </c>
    </row>
    <row r="13" spans="1:12" x14ac:dyDescent="0.2">
      <c r="A13">
        <v>16</v>
      </c>
      <c r="B13" t="s">
        <v>196</v>
      </c>
      <c r="C13" s="22">
        <f>C$8*A13</f>
        <v>504.57599999999996</v>
      </c>
      <c r="D13" t="s">
        <v>192</v>
      </c>
    </row>
    <row r="15" spans="1:12" x14ac:dyDescent="0.2">
      <c r="B15">
        <v>16</v>
      </c>
      <c r="C15" t="s">
        <v>197</v>
      </c>
      <c r="D15">
        <f>B15*3500*0.4</f>
        <v>22400</v>
      </c>
    </row>
    <row r="16" spans="1:12" x14ac:dyDescent="0.2">
      <c r="D16">
        <f>D15*C7/1000</f>
        <v>8.0640000000000003E-2</v>
      </c>
      <c r="E16" t="s">
        <v>31</v>
      </c>
    </row>
    <row r="19" spans="1:16" x14ac:dyDescent="0.2">
      <c r="A19">
        <v>2</v>
      </c>
      <c r="B19" t="s">
        <v>196</v>
      </c>
      <c r="C19" s="22">
        <f>C$8*A19</f>
        <v>63.071999999999996</v>
      </c>
      <c r="D19" t="s">
        <v>192</v>
      </c>
    </row>
    <row r="23" spans="1:16" x14ac:dyDescent="0.2">
      <c r="A23" t="s">
        <v>198</v>
      </c>
      <c r="G23" t="s">
        <v>199</v>
      </c>
    </row>
    <row r="25" spans="1:16" x14ac:dyDescent="0.2">
      <c r="A25" t="s">
        <v>200</v>
      </c>
      <c r="B25">
        <v>53</v>
      </c>
      <c r="C25" t="s">
        <v>185</v>
      </c>
      <c r="G25" t="s">
        <v>200</v>
      </c>
      <c r="H25" s="22">
        <v>11</v>
      </c>
      <c r="I25" t="s">
        <v>185</v>
      </c>
      <c r="K25" t="s">
        <v>22</v>
      </c>
      <c r="M25" t="s">
        <v>201</v>
      </c>
    </row>
    <row r="26" spans="1:16" x14ac:dyDescent="0.2">
      <c r="A26" t="s">
        <v>202</v>
      </c>
      <c r="B26">
        <v>0.56000000000000005</v>
      </c>
      <c r="G26" t="s">
        <v>203</v>
      </c>
      <c r="H26">
        <v>20</v>
      </c>
      <c r="I26" t="s">
        <v>196</v>
      </c>
      <c r="J26" t="s">
        <v>204</v>
      </c>
      <c r="K26" s="21">
        <f>H$25/(H26*$C$7*$C$3)</f>
        <v>1.7440385591070525E-2</v>
      </c>
      <c r="M26" s="22">
        <f>H$25*$C$8/K26/1000</f>
        <v>19.890385919999993</v>
      </c>
    </row>
    <row r="27" spans="1:16" x14ac:dyDescent="0.2">
      <c r="A27" t="s">
        <v>205</v>
      </c>
      <c r="B27" s="23">
        <f>B25/B26</f>
        <v>94.642857142857139</v>
      </c>
      <c r="H27">
        <v>2</v>
      </c>
      <c r="I27" t="s">
        <v>196</v>
      </c>
      <c r="J27" t="s">
        <v>206</v>
      </c>
      <c r="K27" s="21">
        <f>H$25/(H27*$C$7*$C$3)</f>
        <v>0.17440385591070523</v>
      </c>
      <c r="M27" s="22">
        <f>H$25*$C$8/K27/1000</f>
        <v>1.9890385919999996</v>
      </c>
    </row>
    <row r="28" spans="1:16" x14ac:dyDescent="0.2">
      <c r="A28" t="s">
        <v>207</v>
      </c>
      <c r="B28" s="22">
        <f>(4/12)*(12/24)</f>
        <v>0.16666666666666666</v>
      </c>
      <c r="D28" t="s">
        <v>22</v>
      </c>
      <c r="H28">
        <v>1.2</v>
      </c>
      <c r="I28" t="s">
        <v>196</v>
      </c>
      <c r="J28" t="s">
        <v>208</v>
      </c>
      <c r="K28" s="21">
        <f>H$25/(H28*$C$7*$C$3)</f>
        <v>0.29067309318450868</v>
      </c>
      <c r="M28" s="22">
        <f>H$25*$C$8/K28/1000</f>
        <v>1.1934231551999999</v>
      </c>
      <c r="P28" t="s">
        <v>209</v>
      </c>
    </row>
    <row r="29" spans="1:16" x14ac:dyDescent="0.2">
      <c r="A29" t="s">
        <v>203</v>
      </c>
      <c r="B29">
        <v>20</v>
      </c>
      <c r="C29" t="s">
        <v>196</v>
      </c>
      <c r="D29" s="21">
        <f>B$27/(B29*$C$7*$C$3)</f>
        <v>0.15005526563745744</v>
      </c>
      <c r="M29">
        <f>M28/M27</f>
        <v>0.60000000000000009</v>
      </c>
      <c r="P29" t="s">
        <v>210</v>
      </c>
    </row>
    <row r="30" spans="1:16" x14ac:dyDescent="0.2">
      <c r="P30" t="s">
        <v>302</v>
      </c>
    </row>
    <row r="31" spans="1:16" x14ac:dyDescent="0.2">
      <c r="A31" t="s">
        <v>211</v>
      </c>
    </row>
    <row r="32" spans="1:16" x14ac:dyDescent="0.2">
      <c r="A32" t="s">
        <v>212</v>
      </c>
    </row>
  </sheetData>
  <phoneticPr fontId="1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9"/>
  <sheetViews>
    <sheetView topLeftCell="A109" zoomScale="85" zoomScaleNormal="85" workbookViewId="0">
      <selection activeCell="E115" sqref="E115"/>
    </sheetView>
  </sheetViews>
  <sheetFormatPr defaultRowHeight="12.75" x14ac:dyDescent="0.2"/>
  <cols>
    <col min="1" max="1" width="14.42578125" customWidth="1"/>
    <col min="2" max="2" width="39.85546875" customWidth="1"/>
    <col min="3" max="3" width="11.5703125" customWidth="1"/>
    <col min="4" max="4" width="10.85546875" customWidth="1"/>
    <col min="5" max="5" width="10.42578125" customWidth="1"/>
    <col min="6" max="6" width="10.140625" customWidth="1"/>
    <col min="7" max="7" width="9.5703125" customWidth="1"/>
    <col min="8" max="8" width="10" customWidth="1"/>
    <col min="9" max="9" width="10.7109375" customWidth="1"/>
    <col min="10" max="10" width="10.28515625" customWidth="1"/>
    <col min="11" max="11" width="8.85546875" customWidth="1"/>
    <col min="12" max="12" width="7.5703125" customWidth="1"/>
    <col min="13" max="14" width="12.42578125" customWidth="1"/>
    <col min="15" max="15" width="13.42578125" customWidth="1"/>
  </cols>
  <sheetData>
    <row r="1" spans="1:13" x14ac:dyDescent="0.2">
      <c r="A1" s="6" t="s">
        <v>93</v>
      </c>
      <c r="J1" t="s">
        <v>46</v>
      </c>
    </row>
    <row r="3" spans="1:13" x14ac:dyDescent="0.2">
      <c r="A3" s="6" t="s">
        <v>292</v>
      </c>
      <c r="B3" t="s">
        <v>94</v>
      </c>
      <c r="C3" s="22">
        <f>31.536/5</f>
        <v>6.3071999999999999</v>
      </c>
      <c r="E3" t="s">
        <v>37</v>
      </c>
      <c r="F3" t="s">
        <v>36</v>
      </c>
    </row>
    <row r="4" spans="1:13" x14ac:dyDescent="0.2">
      <c r="B4" t="s">
        <v>95</v>
      </c>
      <c r="C4">
        <v>31.536000000000001</v>
      </c>
    </row>
    <row r="5" spans="1:13" x14ac:dyDescent="0.2">
      <c r="B5" t="s">
        <v>87</v>
      </c>
      <c r="C5">
        <v>1</v>
      </c>
      <c r="E5" t="s">
        <v>298</v>
      </c>
    </row>
    <row r="6" spans="1:13" x14ac:dyDescent="0.2">
      <c r="F6" t="s">
        <v>88</v>
      </c>
    </row>
    <row r="7" spans="1:13" x14ac:dyDescent="0.2">
      <c r="A7" s="6" t="s">
        <v>96</v>
      </c>
    </row>
    <row r="8" spans="1:13" x14ac:dyDescent="0.2">
      <c r="B8" t="s">
        <v>97</v>
      </c>
      <c r="C8">
        <v>0.93</v>
      </c>
    </row>
    <row r="9" spans="1:13" x14ac:dyDescent="0.2">
      <c r="B9" t="s">
        <v>98</v>
      </c>
      <c r="C9">
        <v>0.9</v>
      </c>
      <c r="I9" s="6" t="s">
        <v>310</v>
      </c>
    </row>
    <row r="10" spans="1:13" x14ac:dyDescent="0.2">
      <c r="I10" s="30" t="s">
        <v>311</v>
      </c>
    </row>
    <row r="11" spans="1:13" x14ac:dyDescent="0.2">
      <c r="A11" s="6" t="s">
        <v>99</v>
      </c>
      <c r="I11" s="30" t="s">
        <v>312</v>
      </c>
      <c r="M11" s="59"/>
    </row>
    <row r="12" spans="1:13" x14ac:dyDescent="0.2">
      <c r="B12" t="s">
        <v>98</v>
      </c>
      <c r="C12">
        <v>0.2</v>
      </c>
      <c r="D12" t="s">
        <v>43</v>
      </c>
      <c r="E12">
        <v>0.1</v>
      </c>
      <c r="F12" t="s">
        <v>44</v>
      </c>
      <c r="I12" s="30" t="s">
        <v>313</v>
      </c>
    </row>
    <row r="13" spans="1:13" x14ac:dyDescent="0.2">
      <c r="B13" t="s">
        <v>223</v>
      </c>
      <c r="C13">
        <v>0.6</v>
      </c>
      <c r="E13" t="s">
        <v>42</v>
      </c>
      <c r="I13" s="30" t="s">
        <v>314</v>
      </c>
    </row>
    <row r="15" spans="1:13" x14ac:dyDescent="0.2">
      <c r="A15" s="6" t="s">
        <v>162</v>
      </c>
    </row>
    <row r="16" spans="1:13" x14ac:dyDescent="0.2">
      <c r="B16" t="s">
        <v>221</v>
      </c>
      <c r="C16" t="s">
        <v>165</v>
      </c>
    </row>
    <row r="17" spans="1:17" x14ac:dyDescent="0.2">
      <c r="B17" t="s">
        <v>163</v>
      </c>
    </row>
    <row r="18" spans="1:17" x14ac:dyDescent="0.2">
      <c r="B18" t="s">
        <v>164</v>
      </c>
    </row>
    <row r="19" spans="1:17" x14ac:dyDescent="0.2">
      <c r="A19" s="6" t="s">
        <v>100</v>
      </c>
    </row>
    <row r="21" spans="1:17" x14ac:dyDescent="0.2">
      <c r="B21" t="s">
        <v>22</v>
      </c>
      <c r="C21" t="s">
        <v>213</v>
      </c>
    </row>
    <row r="22" spans="1:17" x14ac:dyDescent="0.2">
      <c r="C22" t="s">
        <v>214</v>
      </c>
    </row>
    <row r="23" spans="1:17" x14ac:dyDescent="0.2">
      <c r="C23" t="s">
        <v>178</v>
      </c>
    </row>
    <row r="25" spans="1:17" x14ac:dyDescent="0.2">
      <c r="A25" t="s">
        <v>215</v>
      </c>
      <c r="B25" t="s">
        <v>73</v>
      </c>
      <c r="C25" s="40">
        <v>0.1</v>
      </c>
      <c r="G25" t="s">
        <v>299</v>
      </c>
    </row>
    <row r="26" spans="1:17" x14ac:dyDescent="0.2">
      <c r="B26" t="s">
        <v>275</v>
      </c>
      <c r="C26" s="40">
        <v>0</v>
      </c>
      <c r="G26" t="s">
        <v>300</v>
      </c>
    </row>
    <row r="28" spans="1:17" x14ac:dyDescent="0.2">
      <c r="A28" s="6" t="s">
        <v>38</v>
      </c>
    </row>
    <row r="29" spans="1:17" ht="25.5" x14ac:dyDescent="0.2">
      <c r="A29" s="6" t="s">
        <v>219</v>
      </c>
      <c r="C29" s="38" t="s">
        <v>217</v>
      </c>
      <c r="D29" s="38" t="s">
        <v>217</v>
      </c>
      <c r="E29" s="38" t="s">
        <v>215</v>
      </c>
      <c r="F29" s="38" t="s">
        <v>215</v>
      </c>
      <c r="G29" s="38" t="s">
        <v>231</v>
      </c>
      <c r="H29" s="38" t="s">
        <v>220</v>
      </c>
      <c r="I29" s="38" t="s">
        <v>180</v>
      </c>
      <c r="J29" s="38" t="s">
        <v>48</v>
      </c>
      <c r="K29" s="38" t="s">
        <v>215</v>
      </c>
      <c r="L29" s="38" t="s">
        <v>218</v>
      </c>
      <c r="M29" s="39" t="s">
        <v>216</v>
      </c>
      <c r="N29" s="39" t="s">
        <v>280</v>
      </c>
      <c r="O29" s="39" t="s">
        <v>40</v>
      </c>
      <c r="P29" s="6"/>
      <c r="Q29" t="s">
        <v>67</v>
      </c>
    </row>
    <row r="30" spans="1:17" x14ac:dyDescent="0.2">
      <c r="C30" s="6">
        <v>2010</v>
      </c>
      <c r="D30" s="6">
        <v>2050</v>
      </c>
      <c r="E30" s="6">
        <v>2010</v>
      </c>
      <c r="F30" s="6">
        <v>2050</v>
      </c>
      <c r="G30" s="6">
        <v>2010</v>
      </c>
      <c r="H30" s="6">
        <v>2010</v>
      </c>
      <c r="I30" s="6">
        <v>2010</v>
      </c>
      <c r="J30" s="6"/>
      <c r="K30" s="6">
        <v>2020</v>
      </c>
      <c r="L30" s="6">
        <v>2020</v>
      </c>
      <c r="Q30">
        <v>2020</v>
      </c>
    </row>
    <row r="31" spans="1:17" x14ac:dyDescent="0.2">
      <c r="A31" s="30" t="s">
        <v>117</v>
      </c>
      <c r="B31" t="s">
        <v>118</v>
      </c>
      <c r="C31" s="23"/>
      <c r="E31" s="68">
        <v>185.76513384</v>
      </c>
      <c r="G31" s="52">
        <v>0.55000000000000004</v>
      </c>
      <c r="M31">
        <v>15</v>
      </c>
      <c r="N31">
        <v>2006</v>
      </c>
      <c r="O31" s="22"/>
    </row>
    <row r="32" spans="1:17" x14ac:dyDescent="0.2">
      <c r="A32" s="30" t="s">
        <v>167</v>
      </c>
      <c r="B32" t="s">
        <v>168</v>
      </c>
      <c r="C32" s="23"/>
      <c r="E32" s="68">
        <v>103.57813523199999</v>
      </c>
      <c r="G32" s="52">
        <v>0.61</v>
      </c>
      <c r="M32">
        <v>15</v>
      </c>
      <c r="N32">
        <v>2006</v>
      </c>
      <c r="O32" s="22"/>
    </row>
    <row r="33" spans="1:26" x14ac:dyDescent="0.2">
      <c r="A33" t="s">
        <v>307</v>
      </c>
      <c r="B33" t="s">
        <v>108</v>
      </c>
      <c r="C33" s="67">
        <v>9.6260114808000008</v>
      </c>
      <c r="E33" s="23">
        <v>192.52022961599999</v>
      </c>
      <c r="G33" s="16">
        <v>0.91</v>
      </c>
      <c r="H33" s="21">
        <v>0.4175824175824176</v>
      </c>
      <c r="M33">
        <v>20</v>
      </c>
      <c r="N33">
        <v>2006</v>
      </c>
      <c r="O33" s="22"/>
    </row>
    <row r="34" spans="1:26" x14ac:dyDescent="0.2">
      <c r="A34" t="s">
        <v>235</v>
      </c>
      <c r="B34" t="s">
        <v>236</v>
      </c>
      <c r="C34" s="67">
        <v>2.5629999999999997</v>
      </c>
      <c r="E34" s="67">
        <v>233</v>
      </c>
      <c r="G34" s="14">
        <v>1</v>
      </c>
      <c r="M34">
        <v>15</v>
      </c>
      <c r="N34">
        <v>2006</v>
      </c>
      <c r="O34" s="22"/>
      <c r="P34">
        <v>1</v>
      </c>
      <c r="S34" s="83" t="s">
        <v>372</v>
      </c>
      <c r="T34" s="83"/>
      <c r="U34" s="83"/>
    </row>
    <row r="35" spans="1:26" x14ac:dyDescent="0.2">
      <c r="A35" t="s">
        <v>170</v>
      </c>
      <c r="B35" s="30" t="s">
        <v>357</v>
      </c>
      <c r="C35" s="75">
        <f>'Heat Pumps ETRI'!$AA$12/100*E35</f>
        <v>16</v>
      </c>
      <c r="D35" s="75">
        <f>'Heat Pumps ETRI'!$AA$16/100*F35</f>
        <v>6.46</v>
      </c>
      <c r="E35" s="75">
        <f>'Heat Pumps ETRI'!K12</f>
        <v>800</v>
      </c>
      <c r="F35" s="75">
        <f>'Heat Pumps ETRI'!K16</f>
        <v>646</v>
      </c>
      <c r="G35">
        <v>1</v>
      </c>
      <c r="J35" s="22">
        <f t="shared" ref="J35:J40" si="0">Q35</f>
        <v>0.66666666666666674</v>
      </c>
      <c r="M35">
        <v>20</v>
      </c>
      <c r="N35">
        <v>2006</v>
      </c>
      <c r="O35" s="22">
        <f>'Heat Pumps ETRI'!W12</f>
        <v>3</v>
      </c>
      <c r="P35" t="s">
        <v>71</v>
      </c>
      <c r="Q35">
        <f t="shared" ref="Q35:Q40" si="1">1-1/O35</f>
        <v>0.66666666666666674</v>
      </c>
      <c r="S35" s="84" t="s">
        <v>373</v>
      </c>
      <c r="T35" s="84" t="s">
        <v>377</v>
      </c>
      <c r="U35" s="85"/>
      <c r="V35" s="85"/>
      <c r="W35" s="85"/>
      <c r="X35" s="85"/>
      <c r="Y35" s="85"/>
      <c r="Z35" s="85"/>
    </row>
    <row r="36" spans="1:26" x14ac:dyDescent="0.2">
      <c r="A36" t="s">
        <v>171</v>
      </c>
      <c r="B36" s="30" t="s">
        <v>358</v>
      </c>
      <c r="C36" s="75">
        <f>'Heat Pumps ETRI'!$AA$12/100*E36</f>
        <v>18</v>
      </c>
      <c r="D36" s="75">
        <f>'Heat Pumps ETRI'!$AA$16/100*F36</f>
        <v>7.46</v>
      </c>
      <c r="E36" s="75">
        <f>E35+100</f>
        <v>900</v>
      </c>
      <c r="F36" s="75">
        <f>F35+100</f>
        <v>746</v>
      </c>
      <c r="G36" s="14">
        <v>1</v>
      </c>
      <c r="I36" s="53">
        <v>1</v>
      </c>
      <c r="J36" s="22">
        <f t="shared" si="0"/>
        <v>0.66666666666666674</v>
      </c>
      <c r="M36">
        <v>20</v>
      </c>
      <c r="N36">
        <v>2006</v>
      </c>
      <c r="O36" s="22">
        <f>O35</f>
        <v>3</v>
      </c>
      <c r="P36" t="s">
        <v>71</v>
      </c>
      <c r="Q36">
        <f t="shared" si="1"/>
        <v>0.66666666666666674</v>
      </c>
      <c r="S36" s="85"/>
      <c r="T36" s="86" t="s">
        <v>379</v>
      </c>
      <c r="U36" s="85"/>
      <c r="V36" s="85"/>
      <c r="W36" s="85"/>
      <c r="X36" s="85"/>
      <c r="Y36" s="85"/>
      <c r="Z36" s="85"/>
    </row>
    <row r="37" spans="1:26" x14ac:dyDescent="0.2">
      <c r="A37" t="s">
        <v>356</v>
      </c>
      <c r="B37" s="30" t="s">
        <v>359</v>
      </c>
      <c r="C37" s="75">
        <f>'Heat Pumps ETRI'!$AA$12/100*E37</f>
        <v>19.800000000000004</v>
      </c>
      <c r="D37" s="75">
        <f>'Heat Pumps ETRI'!$AA$16/100*F37</f>
        <v>8.2059999999999995</v>
      </c>
      <c r="E37" s="75">
        <f>E36*1.1</f>
        <v>990.00000000000011</v>
      </c>
      <c r="F37" s="75">
        <f>F36*1.1</f>
        <v>820.6</v>
      </c>
      <c r="G37" s="52">
        <v>1</v>
      </c>
      <c r="I37" s="21"/>
      <c r="J37" s="22">
        <f t="shared" si="0"/>
        <v>0.69696969696969702</v>
      </c>
      <c r="M37">
        <v>20</v>
      </c>
      <c r="N37">
        <v>2006</v>
      </c>
      <c r="O37" s="22">
        <f>O35+0.3</f>
        <v>3.3</v>
      </c>
      <c r="P37" t="s">
        <v>71</v>
      </c>
      <c r="Q37">
        <f t="shared" si="1"/>
        <v>0.69696969696969702</v>
      </c>
      <c r="S37" s="85"/>
      <c r="T37" s="85"/>
      <c r="U37" s="85"/>
      <c r="V37" s="85"/>
      <c r="W37" s="85"/>
      <c r="X37" s="85"/>
      <c r="Y37" s="85"/>
      <c r="Z37" s="85"/>
    </row>
    <row r="38" spans="1:26" x14ac:dyDescent="0.2">
      <c r="A38" t="s">
        <v>172</v>
      </c>
      <c r="B38" s="30" t="s">
        <v>382</v>
      </c>
      <c r="C38" s="75">
        <f>'Heat Pumps ETRI'!$AA$7/100*E38</f>
        <v>28</v>
      </c>
      <c r="D38" s="75">
        <f>'Heat Pumps ETRI'!$AA$11/100*F38</f>
        <v>11.504000000000001</v>
      </c>
      <c r="E38" s="75">
        <f>'Heat Pumps ETRI'!L7+100</f>
        <v>1400</v>
      </c>
      <c r="F38" s="75">
        <f>'Heat Pumps ETRI'!L11+100</f>
        <v>1150.4000000000001</v>
      </c>
      <c r="G38" s="16">
        <v>1</v>
      </c>
      <c r="I38" s="21">
        <v>1</v>
      </c>
      <c r="J38" s="22">
        <f t="shared" si="0"/>
        <v>0.73684210526315796</v>
      </c>
      <c r="M38">
        <v>20</v>
      </c>
      <c r="N38">
        <v>2006</v>
      </c>
      <c r="O38" s="22">
        <v>3.8</v>
      </c>
      <c r="P38" t="s">
        <v>71</v>
      </c>
      <c r="Q38">
        <f t="shared" si="1"/>
        <v>0.73684210526315796</v>
      </c>
      <c r="S38" s="84" t="s">
        <v>374</v>
      </c>
      <c r="T38" s="84" t="s">
        <v>378</v>
      </c>
      <c r="U38" s="85"/>
      <c r="V38" s="85"/>
      <c r="W38" s="85"/>
      <c r="X38" s="85"/>
      <c r="Y38" s="85"/>
      <c r="Z38" s="85"/>
    </row>
    <row r="39" spans="1:26" x14ac:dyDescent="0.2">
      <c r="A39" t="s">
        <v>173</v>
      </c>
      <c r="B39" s="30" t="s">
        <v>383</v>
      </c>
      <c r="C39" s="75">
        <f>'Heat Pumps ETRI'!$AA$7/100*E39</f>
        <v>42</v>
      </c>
      <c r="D39" s="75">
        <f>'Heat Pumps ETRI'!$AA$11/100*F39</f>
        <v>17.16</v>
      </c>
      <c r="E39" s="75">
        <f>'Heat Pumps ETRI'!M7+100</f>
        <v>2100</v>
      </c>
      <c r="F39" s="75">
        <f>'Heat Pumps ETRI'!M11+100</f>
        <v>1716</v>
      </c>
      <c r="G39" s="14">
        <v>1</v>
      </c>
      <c r="I39" s="21"/>
      <c r="J39" s="22">
        <f t="shared" si="0"/>
        <v>0.77500000000000002</v>
      </c>
      <c r="M39">
        <v>20</v>
      </c>
      <c r="N39">
        <v>2006</v>
      </c>
      <c r="O39" s="22">
        <f>O40*0.5/0.45</f>
        <v>4.4444444444444446</v>
      </c>
      <c r="P39" t="s">
        <v>229</v>
      </c>
      <c r="Q39">
        <f t="shared" si="1"/>
        <v>0.77500000000000002</v>
      </c>
      <c r="S39" s="85"/>
      <c r="T39" s="84" t="s">
        <v>380</v>
      </c>
      <c r="U39" s="85"/>
      <c r="V39" s="85"/>
      <c r="W39" s="85"/>
      <c r="X39" s="85"/>
      <c r="Y39" s="85"/>
      <c r="Z39" s="85"/>
    </row>
    <row r="40" spans="1:26" x14ac:dyDescent="0.2">
      <c r="A40" t="s">
        <v>174</v>
      </c>
      <c r="B40" s="30" t="s">
        <v>362</v>
      </c>
      <c r="C40" s="75">
        <f>'Heat Pumps ETRI'!$AA$2/100*E40</f>
        <v>48</v>
      </c>
      <c r="D40" s="75">
        <f>'Heat Pumps ETRI'!$AA$6/100*F40</f>
        <v>29.669999999999998</v>
      </c>
      <c r="E40" s="75">
        <f>'Heat Pumps ETRI'!K2+100</f>
        <v>1200</v>
      </c>
      <c r="F40" s="75">
        <f>'Heat Pumps ETRI'!K6+100</f>
        <v>989</v>
      </c>
      <c r="G40" s="14">
        <v>1</v>
      </c>
      <c r="I40" s="53">
        <v>1</v>
      </c>
      <c r="J40" s="22">
        <f t="shared" si="0"/>
        <v>0.75</v>
      </c>
      <c r="M40">
        <v>20</v>
      </c>
      <c r="N40">
        <v>2006</v>
      </c>
      <c r="O40" s="22">
        <f>'Heat Pumps ETRI'!W2</f>
        <v>4</v>
      </c>
      <c r="P40" t="s">
        <v>228</v>
      </c>
      <c r="Q40">
        <f t="shared" si="1"/>
        <v>0.75</v>
      </c>
      <c r="S40" s="84" t="s">
        <v>375</v>
      </c>
      <c r="T40" s="84" t="s">
        <v>376</v>
      </c>
      <c r="U40" s="85"/>
      <c r="V40" s="85"/>
      <c r="W40" s="85"/>
      <c r="X40" s="85"/>
      <c r="Y40" s="85"/>
      <c r="Z40" s="85"/>
    </row>
    <row r="41" spans="1:26" x14ac:dyDescent="0.2">
      <c r="A41" t="s">
        <v>245</v>
      </c>
      <c r="B41" t="s">
        <v>237</v>
      </c>
      <c r="C41" s="69">
        <v>2.2516985919999999</v>
      </c>
      <c r="E41" s="69">
        <v>39.40472536</v>
      </c>
      <c r="G41" s="16">
        <v>0.84</v>
      </c>
      <c r="I41" s="21"/>
      <c r="M41">
        <v>15</v>
      </c>
      <c r="N41">
        <v>2006</v>
      </c>
      <c r="O41" s="22"/>
      <c r="S41" s="85"/>
      <c r="T41" s="84" t="s">
        <v>381</v>
      </c>
      <c r="U41" s="85"/>
      <c r="V41" s="85"/>
      <c r="W41" s="85"/>
      <c r="X41" s="85"/>
      <c r="Y41" s="85"/>
      <c r="Z41" s="85"/>
    </row>
    <row r="42" spans="1:26" x14ac:dyDescent="0.2">
      <c r="A42" t="s">
        <v>246</v>
      </c>
      <c r="B42" t="s">
        <v>238</v>
      </c>
      <c r="C42" s="67">
        <v>10.716000000000001</v>
      </c>
      <c r="E42" s="67">
        <v>214.32</v>
      </c>
      <c r="G42" s="14">
        <v>0.9</v>
      </c>
      <c r="I42" s="21"/>
      <c r="M42">
        <v>20</v>
      </c>
      <c r="N42">
        <v>2006</v>
      </c>
      <c r="O42" s="22"/>
      <c r="S42" s="85"/>
      <c r="T42" s="85"/>
      <c r="U42" s="85"/>
      <c r="V42" s="85"/>
      <c r="W42" s="85"/>
      <c r="X42" s="85"/>
      <c r="Y42" s="85"/>
      <c r="Z42" s="85"/>
    </row>
    <row r="43" spans="1:26" x14ac:dyDescent="0.2">
      <c r="A43" t="s">
        <v>247</v>
      </c>
      <c r="B43" t="s">
        <v>101</v>
      </c>
      <c r="C43" s="67">
        <v>11.844000000000001</v>
      </c>
      <c r="E43" s="67">
        <v>236.88</v>
      </c>
      <c r="G43" s="16">
        <v>0.90500000000000003</v>
      </c>
      <c r="H43" s="21">
        <v>0.66298342541436461</v>
      </c>
      <c r="I43" s="21"/>
      <c r="M43">
        <v>20</v>
      </c>
      <c r="N43">
        <v>2006</v>
      </c>
      <c r="O43" s="22"/>
    </row>
    <row r="44" spans="1:26" x14ac:dyDescent="0.2">
      <c r="A44" t="s">
        <v>248</v>
      </c>
      <c r="B44" t="s">
        <v>239</v>
      </c>
      <c r="C44" s="67">
        <v>18.8</v>
      </c>
      <c r="E44" s="67">
        <v>376</v>
      </c>
      <c r="G44" s="55">
        <v>1.0249999999999999</v>
      </c>
      <c r="H44" s="21"/>
      <c r="I44" s="21"/>
      <c r="M44">
        <v>20</v>
      </c>
      <c r="N44">
        <v>2006</v>
      </c>
      <c r="O44" s="22"/>
    </row>
    <row r="45" spans="1:26" x14ac:dyDescent="0.2">
      <c r="A45" t="s">
        <v>112</v>
      </c>
      <c r="B45" t="s">
        <v>113</v>
      </c>
      <c r="C45" s="67">
        <v>20.888888888888889</v>
      </c>
      <c r="E45" s="67">
        <v>417.77777777777777</v>
      </c>
      <c r="G45">
        <v>1.07</v>
      </c>
      <c r="H45" s="21">
        <v>0.56074766355140182</v>
      </c>
      <c r="I45" s="21"/>
      <c r="M45">
        <v>20</v>
      </c>
      <c r="N45">
        <v>2006</v>
      </c>
      <c r="O45" s="22"/>
    </row>
    <row r="46" spans="1:26" x14ac:dyDescent="0.2">
      <c r="A46" s="30" t="s">
        <v>308</v>
      </c>
      <c r="B46" s="30" t="s">
        <v>368</v>
      </c>
      <c r="C46" s="75">
        <f>0.04*E46</f>
        <v>49.6</v>
      </c>
      <c r="D46" s="75">
        <f>$F$35/$E$35*C46</f>
        <v>40.052</v>
      </c>
      <c r="E46" s="67">
        <v>1240</v>
      </c>
      <c r="F46" s="75">
        <f>$F$35/$E$35*E46</f>
        <v>1001.3</v>
      </c>
      <c r="G46">
        <v>1</v>
      </c>
      <c r="I46" s="21"/>
      <c r="J46" s="22">
        <f>Q46</f>
        <v>0.33333333333333337</v>
      </c>
      <c r="M46">
        <v>20</v>
      </c>
      <c r="N46">
        <v>2006</v>
      </c>
      <c r="O46" s="22">
        <f>0.5*O35</f>
        <v>1.5</v>
      </c>
      <c r="P46" t="s">
        <v>71</v>
      </c>
      <c r="Q46">
        <f>1-1/O46</f>
        <v>0.33333333333333337</v>
      </c>
    </row>
    <row r="47" spans="1:26" x14ac:dyDescent="0.2">
      <c r="A47" s="30" t="s">
        <v>366</v>
      </c>
      <c r="B47" s="30" t="s">
        <v>367</v>
      </c>
      <c r="C47" s="75">
        <f>0.04*E47</f>
        <v>61.6</v>
      </c>
      <c r="D47" s="75">
        <f>D40+D46-D36</f>
        <v>62.261999999999993</v>
      </c>
      <c r="E47" s="75">
        <f>E40+E46-E36</f>
        <v>1540</v>
      </c>
      <c r="F47" s="75">
        <f>F40+F46-F36</f>
        <v>1244.3</v>
      </c>
      <c r="G47">
        <v>1</v>
      </c>
      <c r="I47" s="53">
        <v>1</v>
      </c>
      <c r="J47" s="22">
        <f>Q47</f>
        <v>0.5</v>
      </c>
      <c r="M47">
        <v>20</v>
      </c>
      <c r="N47">
        <v>2006</v>
      </c>
      <c r="O47" s="22">
        <f>0.5*O40</f>
        <v>2</v>
      </c>
      <c r="P47" t="s">
        <v>71</v>
      </c>
      <c r="Q47">
        <f>1-1/O47</f>
        <v>0.5</v>
      </c>
    </row>
    <row r="48" spans="1:26" x14ac:dyDescent="0.2">
      <c r="A48" t="s">
        <v>119</v>
      </c>
      <c r="B48" t="s">
        <v>120</v>
      </c>
      <c r="C48" s="67">
        <v>104.41448042331427</v>
      </c>
      <c r="E48" s="68">
        <v>1827.2534074079999</v>
      </c>
      <c r="G48" s="52">
        <v>0.86</v>
      </c>
      <c r="I48" s="21"/>
      <c r="K48">
        <v>-0.1</v>
      </c>
      <c r="L48" t="s">
        <v>50</v>
      </c>
      <c r="M48">
        <v>20</v>
      </c>
      <c r="N48">
        <v>2010</v>
      </c>
      <c r="O48" s="22"/>
      <c r="Q48" s="32"/>
    </row>
    <row r="49" spans="1:17" x14ac:dyDescent="0.2">
      <c r="A49" t="s">
        <v>249</v>
      </c>
      <c r="B49" t="s">
        <v>114</v>
      </c>
      <c r="C49" s="67">
        <v>2.2516985919999999</v>
      </c>
      <c r="E49" s="68">
        <v>39.40472536</v>
      </c>
      <c r="G49" s="52">
        <v>0.84</v>
      </c>
      <c r="I49" s="21"/>
      <c r="M49">
        <v>15</v>
      </c>
      <c r="N49">
        <v>2006</v>
      </c>
      <c r="O49" s="22"/>
    </row>
    <row r="50" spans="1:17" x14ac:dyDescent="0.2">
      <c r="A50" t="s">
        <v>250</v>
      </c>
      <c r="B50" t="s">
        <v>240</v>
      </c>
      <c r="C50" s="67">
        <v>8.2749923256000013</v>
      </c>
      <c r="E50" s="68">
        <v>165.499846512</v>
      </c>
      <c r="G50" s="52">
        <v>0.88</v>
      </c>
      <c r="I50" s="21"/>
      <c r="M50">
        <v>20</v>
      </c>
      <c r="N50">
        <v>2006</v>
      </c>
      <c r="O50" s="22"/>
    </row>
    <row r="51" spans="1:17" x14ac:dyDescent="0.2">
      <c r="A51" t="s">
        <v>115</v>
      </c>
      <c r="B51" t="s">
        <v>102</v>
      </c>
      <c r="C51" s="67">
        <v>9.1024915581599988</v>
      </c>
      <c r="E51" s="68">
        <v>182.04983116319997</v>
      </c>
      <c r="G51" s="52">
        <v>0.91</v>
      </c>
      <c r="H51" s="21">
        <v>0.65934065934065933</v>
      </c>
      <c r="I51" s="21"/>
      <c r="M51">
        <v>20</v>
      </c>
      <c r="N51">
        <v>2006</v>
      </c>
      <c r="O51" s="22"/>
    </row>
    <row r="52" spans="1:17" x14ac:dyDescent="0.2">
      <c r="A52" s="30" t="s">
        <v>309</v>
      </c>
      <c r="B52" s="30" t="s">
        <v>370</v>
      </c>
      <c r="C52" s="75">
        <f t="shared" ref="C52:F53" si="2">C46</f>
        <v>49.6</v>
      </c>
      <c r="D52" s="75">
        <f t="shared" si="2"/>
        <v>40.052</v>
      </c>
      <c r="E52" s="67">
        <f t="shared" si="2"/>
        <v>1240</v>
      </c>
      <c r="F52" s="75">
        <f t="shared" si="2"/>
        <v>1001.3</v>
      </c>
      <c r="G52">
        <v>1</v>
      </c>
      <c r="H52" s="21"/>
      <c r="I52" s="21"/>
      <c r="J52" s="22">
        <f>Q52</f>
        <v>0.33333333333333337</v>
      </c>
      <c r="M52">
        <v>20</v>
      </c>
      <c r="N52">
        <v>2006</v>
      </c>
      <c r="O52" s="22">
        <f>O46</f>
        <v>1.5</v>
      </c>
      <c r="P52" t="s">
        <v>71</v>
      </c>
      <c r="Q52">
        <f>1-1/O52</f>
        <v>0.33333333333333337</v>
      </c>
    </row>
    <row r="53" spans="1:17" x14ac:dyDescent="0.2">
      <c r="A53" s="30" t="s">
        <v>369</v>
      </c>
      <c r="B53" s="30" t="s">
        <v>371</v>
      </c>
      <c r="C53" s="75">
        <f t="shared" si="2"/>
        <v>61.6</v>
      </c>
      <c r="D53" s="75">
        <f t="shared" si="2"/>
        <v>62.261999999999993</v>
      </c>
      <c r="E53" s="75">
        <f t="shared" si="2"/>
        <v>1540</v>
      </c>
      <c r="F53" s="75">
        <f t="shared" si="2"/>
        <v>1244.3</v>
      </c>
      <c r="G53">
        <v>1</v>
      </c>
      <c r="H53" s="21"/>
      <c r="I53" s="53">
        <v>1</v>
      </c>
      <c r="J53" s="22">
        <f>Q53</f>
        <v>0.5</v>
      </c>
      <c r="M53">
        <v>20</v>
      </c>
      <c r="N53">
        <v>2006</v>
      </c>
      <c r="O53" s="22">
        <f>O47</f>
        <v>2</v>
      </c>
      <c r="P53" t="s">
        <v>71</v>
      </c>
      <c r="Q53">
        <f>1-1/O53</f>
        <v>0.5</v>
      </c>
    </row>
    <row r="54" spans="1:17" x14ac:dyDescent="0.2">
      <c r="A54" s="15" t="s">
        <v>251</v>
      </c>
      <c r="B54" s="15" t="s">
        <v>169</v>
      </c>
      <c r="C54" s="70">
        <v>9.0067943679999996</v>
      </c>
      <c r="E54" s="70">
        <v>237.55420145599999</v>
      </c>
      <c r="G54" s="15">
        <v>0.95</v>
      </c>
      <c r="H54" s="21">
        <v>0.81914893617021278</v>
      </c>
      <c r="M54">
        <v>20</v>
      </c>
      <c r="N54">
        <v>2006</v>
      </c>
      <c r="O54" s="22"/>
    </row>
    <row r="55" spans="1:17" x14ac:dyDescent="0.2">
      <c r="A55" t="s">
        <v>252</v>
      </c>
      <c r="B55" t="s">
        <v>111</v>
      </c>
      <c r="C55" s="67">
        <v>8.4277861586285709</v>
      </c>
      <c r="E55" s="69">
        <v>147.486257776</v>
      </c>
      <c r="G55">
        <v>0.65</v>
      </c>
      <c r="H55" s="21"/>
      <c r="M55">
        <v>15</v>
      </c>
      <c r="N55">
        <v>2006</v>
      </c>
      <c r="O55" s="22"/>
    </row>
    <row r="56" spans="1:17" x14ac:dyDescent="0.2">
      <c r="A56" t="s">
        <v>253</v>
      </c>
      <c r="B56" t="s">
        <v>241</v>
      </c>
      <c r="C56" s="67">
        <v>9.5</v>
      </c>
      <c r="E56" s="67">
        <v>190</v>
      </c>
      <c r="G56">
        <v>0.92</v>
      </c>
      <c r="H56" s="21"/>
      <c r="M56">
        <v>20</v>
      </c>
      <c r="N56">
        <v>2006</v>
      </c>
      <c r="O56" s="22"/>
    </row>
    <row r="57" spans="1:17" x14ac:dyDescent="0.2">
      <c r="A57" t="s">
        <v>254</v>
      </c>
      <c r="B57" t="s">
        <v>103</v>
      </c>
      <c r="C57" s="67">
        <v>10.450000000000001</v>
      </c>
      <c r="E57" s="71">
        <v>209</v>
      </c>
      <c r="G57">
        <v>0.91</v>
      </c>
      <c r="H57" s="21">
        <v>0.4175824175824176</v>
      </c>
      <c r="M57">
        <v>20</v>
      </c>
      <c r="N57">
        <v>2006</v>
      </c>
      <c r="O57" s="22"/>
    </row>
    <row r="58" spans="1:17" x14ac:dyDescent="0.2">
      <c r="A58" t="s">
        <v>109</v>
      </c>
      <c r="B58" t="s">
        <v>110</v>
      </c>
      <c r="C58" s="67">
        <v>15.7055976792</v>
      </c>
      <c r="E58" s="69">
        <v>314.11195358399999</v>
      </c>
      <c r="G58">
        <v>1</v>
      </c>
      <c r="H58" s="21">
        <v>0.38</v>
      </c>
      <c r="M58">
        <v>20</v>
      </c>
      <c r="N58">
        <v>2006</v>
      </c>
      <c r="O58" s="22"/>
    </row>
    <row r="59" spans="1:17" x14ac:dyDescent="0.2">
      <c r="A59" t="s">
        <v>130</v>
      </c>
      <c r="B59" t="s">
        <v>106</v>
      </c>
      <c r="C59" s="67">
        <v>46.053599999999996</v>
      </c>
      <c r="E59" s="67">
        <v>2302.6799999999998</v>
      </c>
      <c r="G59" s="14">
        <v>1</v>
      </c>
      <c r="H59" s="21">
        <v>0.88</v>
      </c>
      <c r="J59">
        <v>0.68</v>
      </c>
      <c r="M59">
        <v>20</v>
      </c>
      <c r="N59">
        <v>2010</v>
      </c>
      <c r="O59" s="22"/>
    </row>
    <row r="60" spans="1:17" x14ac:dyDescent="0.2">
      <c r="A60" t="s">
        <v>296</v>
      </c>
      <c r="B60" t="s">
        <v>104</v>
      </c>
      <c r="C60" s="67">
        <v>47.64</v>
      </c>
      <c r="E60" s="67">
        <v>2382</v>
      </c>
      <c r="G60" s="14">
        <v>1</v>
      </c>
      <c r="H60" s="21">
        <v>0.56842105263157905</v>
      </c>
      <c r="J60">
        <v>0.71</v>
      </c>
      <c r="M60">
        <v>20</v>
      </c>
      <c r="N60">
        <v>2010</v>
      </c>
      <c r="O60" s="22"/>
    </row>
    <row r="61" spans="1:17" x14ac:dyDescent="0.2">
      <c r="A61" t="s">
        <v>257</v>
      </c>
      <c r="B61" t="s">
        <v>105</v>
      </c>
      <c r="C61" s="67">
        <v>47.64</v>
      </c>
      <c r="E61" s="67">
        <v>2382</v>
      </c>
      <c r="G61" s="14">
        <v>1</v>
      </c>
      <c r="H61" s="21">
        <v>0.56842105263157905</v>
      </c>
      <c r="J61">
        <v>0.68</v>
      </c>
      <c r="M61">
        <v>20</v>
      </c>
      <c r="N61">
        <v>2010</v>
      </c>
      <c r="O61" s="22"/>
    </row>
    <row r="62" spans="1:17" x14ac:dyDescent="0.2">
      <c r="A62" t="s">
        <v>255</v>
      </c>
      <c r="B62" t="s">
        <v>107</v>
      </c>
      <c r="C62" s="67">
        <v>24.35</v>
      </c>
      <c r="E62" s="67">
        <v>487</v>
      </c>
      <c r="G62">
        <v>0.85</v>
      </c>
      <c r="H62" s="21">
        <v>0.4175824175824176</v>
      </c>
      <c r="M62">
        <v>20</v>
      </c>
      <c r="N62">
        <v>2006</v>
      </c>
      <c r="O62" s="22"/>
    </row>
    <row r="63" spans="1:17" x14ac:dyDescent="0.2">
      <c r="A63" s="6" t="s">
        <v>222</v>
      </c>
      <c r="C63" s="23"/>
      <c r="E63" s="23"/>
      <c r="O63" s="22"/>
    </row>
    <row r="64" spans="1:17" x14ac:dyDescent="0.2">
      <c r="A64" t="s">
        <v>255</v>
      </c>
      <c r="B64" t="s">
        <v>304</v>
      </c>
      <c r="C64" s="67">
        <v>9.2319642272000006</v>
      </c>
      <c r="E64" s="69">
        <v>184.63928454399999</v>
      </c>
      <c r="G64" s="16">
        <v>0.5</v>
      </c>
      <c r="M64">
        <v>20</v>
      </c>
      <c r="N64">
        <v>2006</v>
      </c>
      <c r="O64" s="22"/>
    </row>
    <row r="65" spans="1:17" x14ac:dyDescent="0.2">
      <c r="A65" t="s">
        <v>235</v>
      </c>
      <c r="B65" t="s">
        <v>121</v>
      </c>
      <c r="C65" s="67">
        <v>1.4849999999999999</v>
      </c>
      <c r="E65" s="67">
        <v>135</v>
      </c>
      <c r="G65" s="16">
        <v>1</v>
      </c>
      <c r="M65">
        <v>15</v>
      </c>
      <c r="N65">
        <v>2006</v>
      </c>
      <c r="O65" s="22"/>
    </row>
    <row r="66" spans="1:17" x14ac:dyDescent="0.2">
      <c r="A66" t="s">
        <v>170</v>
      </c>
      <c r="B66" s="16" t="s">
        <v>122</v>
      </c>
      <c r="C66" s="67">
        <v>101.7</v>
      </c>
      <c r="E66" s="67">
        <v>2034</v>
      </c>
      <c r="G66" s="16">
        <v>1</v>
      </c>
      <c r="J66" s="22">
        <v>0.57264957264957261</v>
      </c>
      <c r="K66">
        <v>1493</v>
      </c>
      <c r="L66" s="22"/>
      <c r="M66">
        <v>15</v>
      </c>
      <c r="N66">
        <v>2006</v>
      </c>
      <c r="O66" s="22">
        <v>2.34</v>
      </c>
      <c r="P66" t="s">
        <v>71</v>
      </c>
      <c r="Q66">
        <f>1-1/O66</f>
        <v>0.57264957264957261</v>
      </c>
    </row>
    <row r="67" spans="1:17" x14ac:dyDescent="0.2">
      <c r="A67" t="s">
        <v>245</v>
      </c>
      <c r="B67" t="s">
        <v>123</v>
      </c>
      <c r="C67" s="67">
        <v>7.65</v>
      </c>
      <c r="E67" s="67">
        <v>153</v>
      </c>
      <c r="G67" s="16">
        <v>0.76</v>
      </c>
      <c r="M67">
        <v>15</v>
      </c>
      <c r="N67">
        <v>2006</v>
      </c>
      <c r="O67" s="22"/>
    </row>
    <row r="68" spans="1:17" x14ac:dyDescent="0.2">
      <c r="A68" s="15" t="s">
        <v>129</v>
      </c>
      <c r="B68" s="15" t="s">
        <v>127</v>
      </c>
      <c r="C68" s="70">
        <v>20.265287327999999</v>
      </c>
      <c r="E68" s="70">
        <v>1031.2779551359999</v>
      </c>
      <c r="G68" s="15">
        <v>1</v>
      </c>
      <c r="K68">
        <v>733</v>
      </c>
      <c r="M68">
        <v>20</v>
      </c>
      <c r="N68">
        <v>2006</v>
      </c>
      <c r="O68" s="22"/>
    </row>
    <row r="69" spans="1:17" x14ac:dyDescent="0.2">
      <c r="A69" t="s">
        <v>249</v>
      </c>
      <c r="B69" t="s">
        <v>124</v>
      </c>
      <c r="C69" s="67">
        <v>3.0397930992000002</v>
      </c>
      <c r="E69" s="69">
        <v>60.795861983999998</v>
      </c>
      <c r="G69" s="16">
        <v>0.73</v>
      </c>
      <c r="M69">
        <v>15</v>
      </c>
      <c r="N69">
        <v>2006</v>
      </c>
      <c r="O69" s="22"/>
    </row>
    <row r="70" spans="1:17" x14ac:dyDescent="0.2">
      <c r="A70" t="s">
        <v>252</v>
      </c>
      <c r="B70" t="s">
        <v>136</v>
      </c>
      <c r="C70" s="67">
        <v>8.5</v>
      </c>
      <c r="E70" s="67">
        <v>170</v>
      </c>
      <c r="G70" s="54">
        <v>0.7</v>
      </c>
      <c r="M70">
        <v>15</v>
      </c>
      <c r="N70">
        <v>2006</v>
      </c>
      <c r="O70" s="22"/>
    </row>
    <row r="71" spans="1:17" x14ac:dyDescent="0.2">
      <c r="A71" t="s">
        <v>130</v>
      </c>
      <c r="B71" t="s">
        <v>131</v>
      </c>
      <c r="C71" s="67">
        <v>41.26</v>
      </c>
      <c r="E71" s="67">
        <v>2063</v>
      </c>
      <c r="G71">
        <v>1</v>
      </c>
      <c r="J71">
        <v>0.5</v>
      </c>
      <c r="K71">
        <v>1358</v>
      </c>
      <c r="M71">
        <v>15</v>
      </c>
      <c r="N71">
        <v>2010</v>
      </c>
      <c r="O71" s="22"/>
    </row>
    <row r="72" spans="1:17" x14ac:dyDescent="0.2">
      <c r="A72" t="s">
        <v>256</v>
      </c>
      <c r="B72" t="s">
        <v>125</v>
      </c>
      <c r="C72" s="67">
        <v>41.62</v>
      </c>
      <c r="E72" s="67">
        <v>2081</v>
      </c>
      <c r="G72" s="14">
        <v>1</v>
      </c>
      <c r="J72">
        <v>0.5</v>
      </c>
      <c r="K72">
        <v>733</v>
      </c>
      <c r="M72">
        <v>15</v>
      </c>
      <c r="N72">
        <v>2010</v>
      </c>
      <c r="O72" s="22"/>
    </row>
    <row r="73" spans="1:17" x14ac:dyDescent="0.2">
      <c r="A73" t="s">
        <v>128</v>
      </c>
      <c r="B73" t="s">
        <v>126</v>
      </c>
      <c r="C73" s="67">
        <v>41.62</v>
      </c>
      <c r="E73" s="67">
        <v>2081</v>
      </c>
      <c r="G73" s="14">
        <v>1</v>
      </c>
      <c r="J73">
        <v>0.5</v>
      </c>
      <c r="K73">
        <v>834</v>
      </c>
      <c r="M73">
        <v>15</v>
      </c>
      <c r="N73">
        <v>2010</v>
      </c>
      <c r="O73" s="22"/>
    </row>
    <row r="74" spans="1:17" x14ac:dyDescent="0.2">
      <c r="A74" t="s">
        <v>55</v>
      </c>
      <c r="B74" t="s">
        <v>54</v>
      </c>
      <c r="C74" s="72">
        <v>240</v>
      </c>
      <c r="E74" s="72">
        <v>12000</v>
      </c>
      <c r="G74" s="16">
        <v>1</v>
      </c>
      <c r="M74">
        <v>15</v>
      </c>
      <c r="N74">
        <v>2010</v>
      </c>
      <c r="O74" s="22"/>
    </row>
    <row r="75" spans="1:17" x14ac:dyDescent="0.2">
      <c r="A75" s="6" t="s">
        <v>223</v>
      </c>
      <c r="C75" s="23"/>
      <c r="E75" s="23"/>
      <c r="O75" s="22"/>
    </row>
    <row r="76" spans="1:17" x14ac:dyDescent="0.2">
      <c r="A76" t="s">
        <v>235</v>
      </c>
      <c r="B76" t="s">
        <v>132</v>
      </c>
      <c r="C76" s="67">
        <v>24.05</v>
      </c>
      <c r="E76" s="67">
        <v>481</v>
      </c>
      <c r="G76" s="52">
        <v>2.0249999999999999</v>
      </c>
      <c r="M76">
        <v>10</v>
      </c>
      <c r="N76">
        <v>2006</v>
      </c>
      <c r="O76" s="22"/>
    </row>
    <row r="77" spans="1:17" x14ac:dyDescent="0.2">
      <c r="A77" t="s">
        <v>242</v>
      </c>
      <c r="B77" t="s">
        <v>133</v>
      </c>
      <c r="C77" s="67">
        <v>7.5994827479999998</v>
      </c>
      <c r="E77" s="69">
        <v>151.98965496</v>
      </c>
      <c r="G77" s="52">
        <v>0.4</v>
      </c>
      <c r="M77">
        <v>10</v>
      </c>
      <c r="N77">
        <v>2006</v>
      </c>
      <c r="O77" s="22"/>
    </row>
    <row r="78" spans="1:17" x14ac:dyDescent="0.2">
      <c r="A78" t="s">
        <v>243</v>
      </c>
      <c r="B78" t="s">
        <v>134</v>
      </c>
      <c r="C78" s="67">
        <v>4.5596896488000001</v>
      </c>
      <c r="E78" s="69">
        <v>91.193792975999997</v>
      </c>
      <c r="G78" s="52">
        <v>3.1</v>
      </c>
      <c r="M78">
        <v>10</v>
      </c>
      <c r="N78">
        <v>2006</v>
      </c>
      <c r="O78" s="22"/>
    </row>
    <row r="79" spans="1:17" x14ac:dyDescent="0.2">
      <c r="A79" t="s">
        <v>244</v>
      </c>
      <c r="B79" s="56" t="s">
        <v>138</v>
      </c>
      <c r="C79" s="67">
        <v>16.650000000000002</v>
      </c>
      <c r="E79" s="67">
        <v>333</v>
      </c>
      <c r="G79" s="52">
        <v>2.93</v>
      </c>
      <c r="M79">
        <v>15</v>
      </c>
      <c r="N79">
        <v>2006</v>
      </c>
      <c r="O79" s="22"/>
    </row>
    <row r="80" spans="1:17" x14ac:dyDescent="0.2">
      <c r="A80" t="s">
        <v>175</v>
      </c>
      <c r="B80" t="s">
        <v>137</v>
      </c>
      <c r="C80" s="67">
        <v>13.622776481599999</v>
      </c>
      <c r="E80" s="67">
        <v>272.45552963199998</v>
      </c>
      <c r="G80" s="52">
        <v>3.306</v>
      </c>
      <c r="M80">
        <v>15</v>
      </c>
      <c r="N80">
        <v>2006</v>
      </c>
      <c r="O80" s="22"/>
    </row>
    <row r="81" spans="1:17" x14ac:dyDescent="0.2">
      <c r="A81" t="s">
        <v>246</v>
      </c>
      <c r="B81" s="56" t="s">
        <v>139</v>
      </c>
      <c r="C81" s="67">
        <v>97.048209315199998</v>
      </c>
      <c r="E81" s="69">
        <v>1940.9641863039999</v>
      </c>
      <c r="G81" s="52">
        <v>4.41</v>
      </c>
      <c r="M81">
        <v>15</v>
      </c>
      <c r="N81">
        <v>2006</v>
      </c>
      <c r="O81" s="22"/>
    </row>
    <row r="82" spans="1:17" x14ac:dyDescent="0.2">
      <c r="A82" t="s">
        <v>176</v>
      </c>
      <c r="B82" s="56" t="s">
        <v>135</v>
      </c>
      <c r="C82" s="67">
        <v>69.127146774400003</v>
      </c>
      <c r="E82" s="69">
        <v>1382.542935488</v>
      </c>
      <c r="G82" s="52">
        <v>1.0349999999999999</v>
      </c>
      <c r="M82">
        <v>15</v>
      </c>
      <c r="N82">
        <v>2006</v>
      </c>
      <c r="O82" s="22"/>
    </row>
    <row r="83" spans="1:17" x14ac:dyDescent="0.2">
      <c r="A83" t="s">
        <v>49</v>
      </c>
      <c r="B83" s="56" t="s">
        <v>166</v>
      </c>
      <c r="C83" s="67">
        <v>76.55775212799999</v>
      </c>
      <c r="E83" s="69">
        <v>3827.8876063999996</v>
      </c>
      <c r="G83" s="52">
        <v>0.65</v>
      </c>
      <c r="K83">
        <v>2500</v>
      </c>
      <c r="L83">
        <v>1.25</v>
      </c>
      <c r="M83">
        <v>15</v>
      </c>
      <c r="N83">
        <v>2010</v>
      </c>
      <c r="O83" s="22"/>
      <c r="P83" t="s">
        <v>68</v>
      </c>
      <c r="Q83">
        <v>0.3</v>
      </c>
    </row>
    <row r="84" spans="1:17" x14ac:dyDescent="0.2">
      <c r="A84" s="6" t="s">
        <v>181</v>
      </c>
      <c r="C84" s="23"/>
      <c r="E84" s="23"/>
      <c r="O84" s="22"/>
    </row>
    <row r="85" spans="1:17" x14ac:dyDescent="0.2">
      <c r="A85" t="s">
        <v>154</v>
      </c>
      <c r="B85" s="56" t="s">
        <v>259</v>
      </c>
      <c r="C85" s="23">
        <v>4.8411519727999995E-3</v>
      </c>
      <c r="E85" s="23">
        <v>0.51113558038399998</v>
      </c>
      <c r="G85" s="57">
        <v>1</v>
      </c>
      <c r="M85">
        <v>15</v>
      </c>
      <c r="N85">
        <v>2006</v>
      </c>
      <c r="O85" s="22"/>
    </row>
    <row r="86" spans="1:17" x14ac:dyDescent="0.2">
      <c r="A86" t="s">
        <v>155</v>
      </c>
      <c r="B86" s="56" t="s">
        <v>261</v>
      </c>
      <c r="C86" s="23">
        <v>4.64975759248E-3</v>
      </c>
      <c r="E86" s="23">
        <v>0.69690071422399991</v>
      </c>
      <c r="G86" s="57">
        <v>1.25</v>
      </c>
      <c r="M86">
        <v>15</v>
      </c>
      <c r="N86">
        <v>2006</v>
      </c>
      <c r="O86" s="22"/>
    </row>
    <row r="87" spans="1:17" x14ac:dyDescent="0.2">
      <c r="A87" t="s">
        <v>140</v>
      </c>
      <c r="B87" s="30" t="s">
        <v>470</v>
      </c>
      <c r="C87" s="23">
        <v>1.8013588736000001E-2</v>
      </c>
      <c r="E87" s="23">
        <v>0.90067943679999996</v>
      </c>
      <c r="G87" s="57">
        <v>1</v>
      </c>
      <c r="M87">
        <v>15</v>
      </c>
      <c r="N87">
        <v>2006</v>
      </c>
      <c r="O87" s="22"/>
    </row>
    <row r="88" spans="1:17" x14ac:dyDescent="0.2">
      <c r="A88" t="s">
        <v>141</v>
      </c>
      <c r="B88" s="30" t="s">
        <v>471</v>
      </c>
      <c r="C88" s="23">
        <v>6.7550957759999995E-3</v>
      </c>
      <c r="E88" s="23">
        <v>0.33775478879999998</v>
      </c>
      <c r="G88" s="57">
        <v>1</v>
      </c>
      <c r="M88">
        <v>15</v>
      </c>
      <c r="N88">
        <v>2006</v>
      </c>
      <c r="O88" s="22"/>
    </row>
    <row r="89" spans="1:17" x14ac:dyDescent="0.2">
      <c r="A89" t="s">
        <v>142</v>
      </c>
      <c r="B89" s="30" t="s">
        <v>472</v>
      </c>
      <c r="C89" s="23">
        <v>4.5033971840000003E-3</v>
      </c>
      <c r="E89" s="23">
        <v>0.22516985919999999</v>
      </c>
      <c r="G89" s="57">
        <v>0.6</v>
      </c>
      <c r="M89">
        <v>15</v>
      </c>
      <c r="N89">
        <v>2006</v>
      </c>
      <c r="O89" s="22"/>
    </row>
    <row r="90" spans="1:17" x14ac:dyDescent="0.2">
      <c r="A90" t="s">
        <v>156</v>
      </c>
      <c r="B90" s="56" t="s">
        <v>262</v>
      </c>
      <c r="C90" s="23">
        <v>5.6292464799999999E-3</v>
      </c>
      <c r="E90" s="23">
        <v>0.67550957759999997</v>
      </c>
      <c r="G90" s="57">
        <v>1</v>
      </c>
      <c r="I90" s="16"/>
      <c r="M90">
        <v>15</v>
      </c>
      <c r="N90">
        <v>2006</v>
      </c>
      <c r="O90" s="22"/>
    </row>
    <row r="91" spans="1:17" x14ac:dyDescent="0.2">
      <c r="A91" t="s">
        <v>157</v>
      </c>
      <c r="B91" s="56" t="s">
        <v>264</v>
      </c>
      <c r="C91" s="23">
        <v>1.0132643663999999E-2</v>
      </c>
      <c r="E91" s="23">
        <v>1.0132643664000001</v>
      </c>
      <c r="G91" s="57">
        <v>1.54</v>
      </c>
      <c r="I91" s="16"/>
      <c r="M91">
        <v>15</v>
      </c>
      <c r="N91">
        <v>2006</v>
      </c>
      <c r="O91" s="22"/>
    </row>
    <row r="92" spans="1:17" x14ac:dyDescent="0.2">
      <c r="A92" t="s">
        <v>158</v>
      </c>
      <c r="B92" s="56" t="s">
        <v>266</v>
      </c>
      <c r="C92" s="23">
        <v>9.5697190160000008E-3</v>
      </c>
      <c r="E92" s="23">
        <v>0.61921711280000002</v>
      </c>
      <c r="G92" s="57">
        <v>1</v>
      </c>
      <c r="H92" t="s">
        <v>69</v>
      </c>
      <c r="I92" s="16">
        <v>0.67</v>
      </c>
      <c r="M92">
        <v>15</v>
      </c>
      <c r="N92">
        <v>2006</v>
      </c>
      <c r="O92" s="22"/>
    </row>
    <row r="93" spans="1:17" x14ac:dyDescent="0.2">
      <c r="A93" t="s">
        <v>159</v>
      </c>
      <c r="B93" s="56" t="s">
        <v>265</v>
      </c>
      <c r="C93" s="23">
        <v>9.0067943680000005E-3</v>
      </c>
      <c r="E93" s="23">
        <v>1.20747336996</v>
      </c>
      <c r="G93" s="57">
        <v>1.41</v>
      </c>
      <c r="H93" t="s">
        <v>70</v>
      </c>
      <c r="I93" s="16">
        <v>0.33</v>
      </c>
      <c r="M93">
        <v>15</v>
      </c>
      <c r="N93">
        <v>2006</v>
      </c>
      <c r="O93" s="22"/>
    </row>
    <row r="94" spans="1:17" x14ac:dyDescent="0.2">
      <c r="A94" t="s">
        <v>160</v>
      </c>
      <c r="B94" s="56" t="s">
        <v>269</v>
      </c>
      <c r="C94" s="23">
        <v>7.7683601423999991E-3</v>
      </c>
      <c r="E94" s="23">
        <v>0.17112909299199999</v>
      </c>
      <c r="G94" s="57">
        <v>1</v>
      </c>
      <c r="I94" s="16"/>
      <c r="M94">
        <v>15</v>
      </c>
      <c r="N94">
        <v>2006</v>
      </c>
      <c r="O94" s="22"/>
    </row>
    <row r="95" spans="1:17" x14ac:dyDescent="0.2">
      <c r="A95" t="s">
        <v>161</v>
      </c>
      <c r="B95" s="56" t="s">
        <v>267</v>
      </c>
      <c r="C95" s="23">
        <v>3.3775478879999998E-3</v>
      </c>
      <c r="E95" s="23">
        <v>0.35689422683200001</v>
      </c>
      <c r="G95" s="57">
        <v>2</v>
      </c>
      <c r="I95" s="16"/>
      <c r="M95">
        <v>15</v>
      </c>
      <c r="N95">
        <v>2006</v>
      </c>
      <c r="O95" s="22"/>
    </row>
    <row r="96" spans="1:17" x14ac:dyDescent="0.2">
      <c r="A96" s="19" t="s">
        <v>144</v>
      </c>
      <c r="B96" t="s">
        <v>89</v>
      </c>
      <c r="C96" s="23"/>
      <c r="E96" s="23">
        <v>2.2516985920000001E-3</v>
      </c>
      <c r="G96" s="57">
        <v>1.5</v>
      </c>
      <c r="M96">
        <v>2</v>
      </c>
      <c r="N96">
        <v>2006</v>
      </c>
      <c r="O96" s="22"/>
    </row>
    <row r="97" spans="1:19" x14ac:dyDescent="0.2">
      <c r="A97" s="19" t="s">
        <v>145</v>
      </c>
      <c r="B97" t="s">
        <v>75</v>
      </c>
      <c r="C97" s="23"/>
      <c r="E97" s="23">
        <v>6.1921711279999993E-3</v>
      </c>
      <c r="G97" s="57">
        <v>2.8</v>
      </c>
      <c r="M97">
        <v>5</v>
      </c>
      <c r="N97">
        <v>2006</v>
      </c>
      <c r="O97" s="22"/>
    </row>
    <row r="98" spans="1:19" x14ac:dyDescent="0.2">
      <c r="A98" s="19" t="s">
        <v>146</v>
      </c>
      <c r="B98" t="s">
        <v>288</v>
      </c>
      <c r="C98" s="23"/>
      <c r="E98" s="23">
        <v>9.7385964103999991E-3</v>
      </c>
      <c r="G98" s="57">
        <v>5.71</v>
      </c>
      <c r="M98">
        <v>8</v>
      </c>
      <c r="N98">
        <v>2006</v>
      </c>
      <c r="O98" s="22"/>
    </row>
    <row r="99" spans="1:19" x14ac:dyDescent="0.2">
      <c r="A99" t="s">
        <v>151</v>
      </c>
      <c r="B99" t="s">
        <v>225</v>
      </c>
      <c r="C99" s="23">
        <v>8.4438697199999985E-3</v>
      </c>
      <c r="E99" s="23">
        <v>0.8443869719999999</v>
      </c>
      <c r="G99" s="57">
        <v>1</v>
      </c>
      <c r="M99">
        <v>15</v>
      </c>
      <c r="N99">
        <v>2006</v>
      </c>
      <c r="O99" s="22"/>
    </row>
    <row r="100" spans="1:19" x14ac:dyDescent="0.2">
      <c r="A100" t="s">
        <v>152</v>
      </c>
      <c r="B100" t="s">
        <v>271</v>
      </c>
      <c r="C100" s="23">
        <v>8.6690395792000004E-3</v>
      </c>
      <c r="E100" s="22">
        <f>E166</f>
        <v>0.42894858177599998</v>
      </c>
      <c r="F100" s="22"/>
      <c r="G100" s="130">
        <v>1.56</v>
      </c>
      <c r="M100">
        <v>15</v>
      </c>
      <c r="N100">
        <v>2006</v>
      </c>
      <c r="O100" s="22"/>
    </row>
    <row r="101" spans="1:19" x14ac:dyDescent="0.2">
      <c r="A101" t="s">
        <v>153</v>
      </c>
      <c r="B101" t="s">
        <v>273</v>
      </c>
      <c r="C101" s="23">
        <v>2.5331609159999997E-2</v>
      </c>
      <c r="E101" s="22">
        <f>E167</f>
        <v>0.65411844097599992</v>
      </c>
      <c r="F101" s="22"/>
      <c r="G101" s="130">
        <v>2.92</v>
      </c>
      <c r="M101">
        <v>15</v>
      </c>
      <c r="N101">
        <v>2006</v>
      </c>
      <c r="O101" s="22"/>
    </row>
    <row r="102" spans="1:19" x14ac:dyDescent="0.2">
      <c r="C102" s="23"/>
      <c r="E102" s="23"/>
    </row>
    <row r="103" spans="1:19" x14ac:dyDescent="0.2">
      <c r="C103" s="23"/>
      <c r="E103" s="23"/>
    </row>
    <row r="104" spans="1:19" x14ac:dyDescent="0.2">
      <c r="C104" s="23"/>
      <c r="E104" s="23"/>
    </row>
    <row r="105" spans="1:19" x14ac:dyDescent="0.2">
      <c r="C105" s="23"/>
      <c r="E105" s="23"/>
    </row>
    <row r="106" spans="1:19" x14ac:dyDescent="0.2">
      <c r="A106" s="6" t="s">
        <v>39</v>
      </c>
      <c r="C106" s="23"/>
      <c r="E106" s="23"/>
      <c r="H106" t="s">
        <v>230</v>
      </c>
    </row>
    <row r="107" spans="1:19" ht="38.25" x14ac:dyDescent="0.2">
      <c r="A107" s="6" t="s">
        <v>219</v>
      </c>
      <c r="C107" s="73" t="s">
        <v>217</v>
      </c>
      <c r="E107" s="73" t="s">
        <v>215</v>
      </c>
      <c r="G107" s="38" t="s">
        <v>66</v>
      </c>
      <c r="H107" s="38" t="s">
        <v>220</v>
      </c>
      <c r="I107" s="38" t="s">
        <v>47</v>
      </c>
      <c r="J107" s="36" t="s">
        <v>45</v>
      </c>
      <c r="K107" s="38" t="s">
        <v>215</v>
      </c>
      <c r="L107" s="38" t="s">
        <v>218</v>
      </c>
      <c r="M107" s="39" t="s">
        <v>216</v>
      </c>
      <c r="N107" s="39" t="s">
        <v>280</v>
      </c>
      <c r="O107" s="2" t="s">
        <v>40</v>
      </c>
      <c r="P107" s="6"/>
    </row>
    <row r="108" spans="1:19" x14ac:dyDescent="0.2">
      <c r="C108" s="23"/>
      <c r="E108" s="23">
        <v>2010</v>
      </c>
      <c r="G108">
        <v>2010</v>
      </c>
      <c r="H108">
        <v>2010</v>
      </c>
      <c r="J108">
        <v>2006</v>
      </c>
      <c r="K108">
        <v>2020</v>
      </c>
      <c r="L108">
        <v>2020</v>
      </c>
    </row>
    <row r="109" spans="1:19" x14ac:dyDescent="0.2">
      <c r="A109" t="s">
        <v>235</v>
      </c>
      <c r="B109" t="s">
        <v>236</v>
      </c>
      <c r="C109" s="67">
        <v>0.25630000000000003</v>
      </c>
      <c r="E109" s="67">
        <v>233</v>
      </c>
      <c r="G109">
        <v>1</v>
      </c>
      <c r="M109">
        <v>15</v>
      </c>
      <c r="N109">
        <v>2006</v>
      </c>
    </row>
    <row r="110" spans="1:19" x14ac:dyDescent="0.2">
      <c r="A110" t="s">
        <v>242</v>
      </c>
      <c r="B110" t="s">
        <v>41</v>
      </c>
      <c r="C110" s="67">
        <v>0.13622776481599999</v>
      </c>
      <c r="E110" s="69">
        <v>123.84342255999999</v>
      </c>
      <c r="G110" s="14">
        <v>1</v>
      </c>
      <c r="M110">
        <v>20</v>
      </c>
      <c r="N110">
        <v>2006</v>
      </c>
    </row>
    <row r="111" spans="1:19" x14ac:dyDescent="0.2">
      <c r="A111" t="s">
        <v>170</v>
      </c>
      <c r="B111" s="30" t="s">
        <v>357</v>
      </c>
      <c r="C111" s="75">
        <f t="shared" ref="C111:F116" si="3">C35*0.9</f>
        <v>14.4</v>
      </c>
      <c r="D111" s="75">
        <f t="shared" si="3"/>
        <v>5.8140000000000001</v>
      </c>
      <c r="E111" s="75">
        <f t="shared" si="3"/>
        <v>720</v>
      </c>
      <c r="F111" s="75">
        <f t="shared" si="3"/>
        <v>581.4</v>
      </c>
      <c r="G111">
        <v>1</v>
      </c>
      <c r="J111" s="37">
        <f t="shared" ref="J111:J116" si="4">Q111</f>
        <v>0.66666666666666674</v>
      </c>
      <c r="K111" s="37"/>
      <c r="L111" s="37"/>
      <c r="M111">
        <v>20</v>
      </c>
      <c r="N111">
        <v>2006</v>
      </c>
      <c r="O111" s="22">
        <f t="shared" ref="O111:O116" si="5">O35</f>
        <v>3</v>
      </c>
      <c r="P111" t="s">
        <v>71</v>
      </c>
      <c r="Q111">
        <f t="shared" ref="Q111:Q116" si="6">1-1/O111</f>
        <v>0.66666666666666674</v>
      </c>
    </row>
    <row r="112" spans="1:19" x14ac:dyDescent="0.2">
      <c r="A112" t="s">
        <v>171</v>
      </c>
      <c r="B112" s="30" t="s">
        <v>358</v>
      </c>
      <c r="C112" s="75">
        <f t="shared" si="3"/>
        <v>16.2</v>
      </c>
      <c r="D112" s="75">
        <f t="shared" si="3"/>
        <v>6.7140000000000004</v>
      </c>
      <c r="E112" s="75">
        <f t="shared" si="3"/>
        <v>810</v>
      </c>
      <c r="F112" s="75">
        <f t="shared" si="3"/>
        <v>671.4</v>
      </c>
      <c r="G112" s="16">
        <v>1</v>
      </c>
      <c r="H112" s="16"/>
      <c r="I112" s="16">
        <v>1</v>
      </c>
      <c r="J112" s="37">
        <f t="shared" si="4"/>
        <v>0.66666666666666674</v>
      </c>
      <c r="K112" s="37"/>
      <c r="L112" s="37"/>
      <c r="M112">
        <v>20</v>
      </c>
      <c r="N112">
        <v>2006</v>
      </c>
      <c r="O112" s="22">
        <f t="shared" si="5"/>
        <v>3</v>
      </c>
      <c r="P112" t="s">
        <v>71</v>
      </c>
      <c r="Q112">
        <f t="shared" si="6"/>
        <v>0.66666666666666674</v>
      </c>
      <c r="S112" s="16"/>
    </row>
    <row r="113" spans="1:19" x14ac:dyDescent="0.2">
      <c r="A113" t="s">
        <v>356</v>
      </c>
      <c r="B113" s="30" t="s">
        <v>359</v>
      </c>
      <c r="C113" s="75">
        <f t="shared" si="3"/>
        <v>17.820000000000004</v>
      </c>
      <c r="D113" s="75">
        <f t="shared" si="3"/>
        <v>7.3853999999999997</v>
      </c>
      <c r="E113" s="75">
        <f t="shared" si="3"/>
        <v>891.00000000000011</v>
      </c>
      <c r="F113" s="75">
        <f t="shared" si="3"/>
        <v>738.54000000000008</v>
      </c>
      <c r="G113">
        <v>1</v>
      </c>
      <c r="J113" s="37">
        <f t="shared" si="4"/>
        <v>0.69696969696969702</v>
      </c>
      <c r="K113" s="37"/>
      <c r="L113" s="37"/>
      <c r="M113">
        <v>20</v>
      </c>
      <c r="N113">
        <v>2006</v>
      </c>
      <c r="O113" s="22">
        <f t="shared" si="5"/>
        <v>3.3</v>
      </c>
      <c r="P113" t="s">
        <v>71</v>
      </c>
      <c r="Q113">
        <f t="shared" si="6"/>
        <v>0.69696969696969702</v>
      </c>
      <c r="S113" s="16"/>
    </row>
    <row r="114" spans="1:19" x14ac:dyDescent="0.2">
      <c r="A114" t="s">
        <v>172</v>
      </c>
      <c r="B114" s="30" t="s">
        <v>360</v>
      </c>
      <c r="C114" s="75">
        <f t="shared" si="3"/>
        <v>25.2</v>
      </c>
      <c r="D114" s="75">
        <f t="shared" si="3"/>
        <v>10.353600000000002</v>
      </c>
      <c r="E114" s="75">
        <f t="shared" si="3"/>
        <v>1260</v>
      </c>
      <c r="F114" s="75">
        <f t="shared" si="3"/>
        <v>1035.3600000000001</v>
      </c>
      <c r="G114">
        <v>1</v>
      </c>
      <c r="I114">
        <v>1</v>
      </c>
      <c r="J114" s="37">
        <f t="shared" si="4"/>
        <v>0.73684210526315796</v>
      </c>
      <c r="K114" s="37"/>
      <c r="L114" s="37"/>
      <c r="M114">
        <v>20</v>
      </c>
      <c r="N114">
        <v>2006</v>
      </c>
      <c r="O114" s="22">
        <f t="shared" si="5"/>
        <v>3.8</v>
      </c>
      <c r="P114" t="s">
        <v>71</v>
      </c>
      <c r="Q114">
        <f t="shared" si="6"/>
        <v>0.73684210526315796</v>
      </c>
      <c r="S114" s="16"/>
    </row>
    <row r="115" spans="1:19" x14ac:dyDescent="0.2">
      <c r="A115" t="s">
        <v>173</v>
      </c>
      <c r="B115" s="30" t="s">
        <v>361</v>
      </c>
      <c r="C115" s="75">
        <f t="shared" si="3"/>
        <v>37.800000000000004</v>
      </c>
      <c r="D115" s="75">
        <f t="shared" si="3"/>
        <v>15.444000000000001</v>
      </c>
      <c r="E115" s="75">
        <f t="shared" si="3"/>
        <v>1890</v>
      </c>
      <c r="F115" s="75">
        <f t="shared" si="3"/>
        <v>1544.4</v>
      </c>
      <c r="G115">
        <v>1</v>
      </c>
      <c r="J115" s="37">
        <f t="shared" si="4"/>
        <v>0.77500000000000002</v>
      </c>
      <c r="K115" s="37"/>
      <c r="L115" s="37"/>
      <c r="M115">
        <v>20</v>
      </c>
      <c r="N115">
        <v>2006</v>
      </c>
      <c r="O115" s="22">
        <f t="shared" si="5"/>
        <v>4.4444444444444446</v>
      </c>
      <c r="P115" t="s">
        <v>228</v>
      </c>
      <c r="Q115">
        <f t="shared" si="6"/>
        <v>0.77500000000000002</v>
      </c>
      <c r="S115" s="16"/>
    </row>
    <row r="116" spans="1:19" x14ac:dyDescent="0.2">
      <c r="A116" t="s">
        <v>174</v>
      </c>
      <c r="B116" s="30" t="s">
        <v>362</v>
      </c>
      <c r="C116" s="75">
        <f t="shared" si="3"/>
        <v>43.2</v>
      </c>
      <c r="D116" s="75">
        <f t="shared" si="3"/>
        <v>26.702999999999999</v>
      </c>
      <c r="E116" s="75">
        <f t="shared" si="3"/>
        <v>1080</v>
      </c>
      <c r="F116" s="75">
        <f t="shared" si="3"/>
        <v>890.1</v>
      </c>
      <c r="G116" s="16">
        <v>1</v>
      </c>
      <c r="H116" s="16"/>
      <c r="I116" s="16">
        <v>1</v>
      </c>
      <c r="J116" s="37">
        <f t="shared" si="4"/>
        <v>0.75</v>
      </c>
      <c r="K116" s="37"/>
      <c r="L116" s="37"/>
      <c r="M116">
        <v>20</v>
      </c>
      <c r="N116">
        <v>2006</v>
      </c>
      <c r="O116" s="22">
        <f t="shared" si="5"/>
        <v>4</v>
      </c>
      <c r="P116" t="s">
        <v>228</v>
      </c>
      <c r="Q116">
        <f t="shared" si="6"/>
        <v>0.75</v>
      </c>
      <c r="S116" s="16"/>
    </row>
    <row r="117" spans="1:19" x14ac:dyDescent="0.2">
      <c r="A117" t="s">
        <v>245</v>
      </c>
      <c r="B117" t="s">
        <v>237</v>
      </c>
      <c r="C117" s="69">
        <v>0.56292464799999997</v>
      </c>
      <c r="E117" s="69">
        <v>33.775478880000001</v>
      </c>
      <c r="G117" s="16">
        <v>0.95</v>
      </c>
      <c r="H117" s="16"/>
      <c r="M117">
        <v>15</v>
      </c>
      <c r="N117">
        <v>2006</v>
      </c>
      <c r="O117" s="22"/>
      <c r="S117" s="16"/>
    </row>
    <row r="118" spans="1:19" x14ac:dyDescent="0.2">
      <c r="A118" s="19" t="s">
        <v>246</v>
      </c>
      <c r="B118" t="s">
        <v>238</v>
      </c>
      <c r="C118" s="67">
        <v>11.36131752</v>
      </c>
      <c r="E118" s="67">
        <v>162.30453599999998</v>
      </c>
      <c r="G118" s="14">
        <v>0.9</v>
      </c>
      <c r="M118">
        <v>20</v>
      </c>
      <c r="N118">
        <v>2006</v>
      </c>
      <c r="O118" s="22"/>
      <c r="S118" s="16"/>
    </row>
    <row r="119" spans="1:19" x14ac:dyDescent="0.2">
      <c r="A119" s="19" t="s">
        <v>247</v>
      </c>
      <c r="B119" t="s">
        <v>101</v>
      </c>
      <c r="C119" s="67">
        <v>12.557245679999999</v>
      </c>
      <c r="E119" s="67">
        <v>179.38922399999998</v>
      </c>
      <c r="G119" s="16">
        <v>0.95</v>
      </c>
      <c r="H119" s="21">
        <v>0.66300000000000003</v>
      </c>
      <c r="M119">
        <v>20</v>
      </c>
      <c r="N119">
        <v>2006</v>
      </c>
      <c r="O119" s="22"/>
      <c r="S119" s="16"/>
    </row>
    <row r="120" spans="1:19" x14ac:dyDescent="0.2">
      <c r="A120" s="19" t="s">
        <v>248</v>
      </c>
      <c r="B120" t="s">
        <v>239</v>
      </c>
      <c r="C120" s="67">
        <v>19.932136000000003</v>
      </c>
      <c r="E120" s="67">
        <v>284.7448</v>
      </c>
      <c r="G120" s="16">
        <v>0.96</v>
      </c>
      <c r="M120">
        <v>20</v>
      </c>
      <c r="N120">
        <v>2006</v>
      </c>
      <c r="O120" s="22"/>
      <c r="S120" s="16"/>
    </row>
    <row r="121" spans="1:19" x14ac:dyDescent="0.2">
      <c r="A121" s="19" t="s">
        <v>112</v>
      </c>
      <c r="B121" t="s">
        <v>113</v>
      </c>
      <c r="C121" s="67">
        <v>22.146817777777777</v>
      </c>
      <c r="E121" s="67">
        <v>316.38311111111108</v>
      </c>
      <c r="G121">
        <v>1.07</v>
      </c>
      <c r="H121" s="21">
        <v>0.56074766355140182</v>
      </c>
      <c r="M121">
        <v>20</v>
      </c>
      <c r="N121">
        <v>2006</v>
      </c>
      <c r="O121" s="22"/>
      <c r="S121" s="16"/>
    </row>
    <row r="122" spans="1:19" x14ac:dyDescent="0.2">
      <c r="A122" s="76" t="s">
        <v>308</v>
      </c>
      <c r="B122" s="30" t="s">
        <v>365</v>
      </c>
      <c r="C122" s="75">
        <f t="shared" ref="C122:F123" si="7">0.9*C46</f>
        <v>44.64</v>
      </c>
      <c r="D122" s="75">
        <f t="shared" si="7"/>
        <v>36.046799999999998</v>
      </c>
      <c r="E122" s="75">
        <f t="shared" si="7"/>
        <v>1116</v>
      </c>
      <c r="F122" s="75">
        <f t="shared" si="7"/>
        <v>901.17</v>
      </c>
      <c r="G122">
        <v>1</v>
      </c>
      <c r="H122" s="21"/>
      <c r="J122" s="37">
        <f>Q122</f>
        <v>0.33333333333333337</v>
      </c>
      <c r="M122">
        <v>20</v>
      </c>
      <c r="N122">
        <v>2006</v>
      </c>
      <c r="O122" s="22">
        <f>0.5*O112</f>
        <v>1.5</v>
      </c>
      <c r="P122" t="s">
        <v>71</v>
      </c>
      <c r="Q122">
        <f>1-1/O122</f>
        <v>0.33333333333333337</v>
      </c>
      <c r="S122" s="77">
        <f>O122/O111</f>
        <v>0.5</v>
      </c>
    </row>
    <row r="123" spans="1:19" x14ac:dyDescent="0.2">
      <c r="A123" s="76" t="s">
        <v>366</v>
      </c>
      <c r="B123" s="30" t="s">
        <v>367</v>
      </c>
      <c r="C123" s="75">
        <f t="shared" si="7"/>
        <v>55.440000000000005</v>
      </c>
      <c r="D123" s="75">
        <f t="shared" si="7"/>
        <v>56.035799999999995</v>
      </c>
      <c r="E123" s="75">
        <f t="shared" si="7"/>
        <v>1386</v>
      </c>
      <c r="F123" s="75">
        <f t="shared" si="7"/>
        <v>1119.8699999999999</v>
      </c>
      <c r="G123">
        <v>1</v>
      </c>
      <c r="H123" s="21"/>
      <c r="I123">
        <v>1</v>
      </c>
      <c r="J123" s="37">
        <f>Q123</f>
        <v>0.5</v>
      </c>
      <c r="M123">
        <v>20</v>
      </c>
      <c r="N123">
        <v>2006</v>
      </c>
      <c r="O123" s="22">
        <f>0.5*O116</f>
        <v>2</v>
      </c>
      <c r="P123" t="s">
        <v>71</v>
      </c>
      <c r="Q123">
        <f>1-1/O123</f>
        <v>0.5</v>
      </c>
      <c r="S123" s="16"/>
    </row>
    <row r="124" spans="1:19" x14ac:dyDescent="0.2">
      <c r="A124" s="19" t="s">
        <v>250</v>
      </c>
      <c r="B124" t="s">
        <v>240</v>
      </c>
      <c r="C124" s="67">
        <v>8.2749923256000013</v>
      </c>
      <c r="E124" s="69">
        <v>165.499846512</v>
      </c>
      <c r="G124">
        <v>0.85</v>
      </c>
      <c r="H124" s="21"/>
      <c r="M124">
        <v>20</v>
      </c>
      <c r="N124">
        <v>2006</v>
      </c>
      <c r="O124" s="22"/>
      <c r="S124" s="16"/>
    </row>
    <row r="125" spans="1:19" x14ac:dyDescent="0.2">
      <c r="A125" t="s">
        <v>115</v>
      </c>
      <c r="B125" t="s">
        <v>102</v>
      </c>
      <c r="C125" s="67">
        <v>9.1024915581599988</v>
      </c>
      <c r="E125" s="69">
        <v>182.04983116319997</v>
      </c>
      <c r="G125" s="16">
        <v>0.73399999999999999</v>
      </c>
      <c r="H125" s="21">
        <v>0.81743869209809261</v>
      </c>
      <c r="M125">
        <v>20</v>
      </c>
      <c r="N125">
        <v>2006</v>
      </c>
      <c r="O125" s="22"/>
      <c r="S125" s="16"/>
    </row>
    <row r="126" spans="1:19" x14ac:dyDescent="0.2">
      <c r="A126" s="19" t="s">
        <v>309</v>
      </c>
      <c r="B126" t="s">
        <v>116</v>
      </c>
      <c r="C126" s="67">
        <f>C122</f>
        <v>44.64</v>
      </c>
      <c r="D126" s="75">
        <f>$F$111/$E$111*C126</f>
        <v>36.046799999999998</v>
      </c>
      <c r="E126" s="69">
        <f>E122</f>
        <v>1116</v>
      </c>
      <c r="F126" s="75">
        <f>$F$111/$E$111*E126</f>
        <v>901.17</v>
      </c>
      <c r="G126" s="16">
        <v>1</v>
      </c>
      <c r="H126" s="21"/>
      <c r="I126">
        <v>1</v>
      </c>
      <c r="J126" s="37">
        <f>Q126</f>
        <v>0.33333333333333337</v>
      </c>
      <c r="K126" s="21"/>
      <c r="L126" s="21"/>
      <c r="M126">
        <v>20</v>
      </c>
      <c r="N126">
        <v>2006</v>
      </c>
      <c r="O126" s="22">
        <f>O122</f>
        <v>1.5</v>
      </c>
      <c r="P126" t="s">
        <v>71</v>
      </c>
      <c r="Q126">
        <f>1-1/O126</f>
        <v>0.33333333333333337</v>
      </c>
      <c r="S126" s="16"/>
    </row>
    <row r="127" spans="1:19" x14ac:dyDescent="0.2">
      <c r="A127" s="15" t="s">
        <v>251</v>
      </c>
      <c r="B127" s="15" t="s">
        <v>169</v>
      </c>
      <c r="C127" s="70">
        <v>3.9404725360000001</v>
      </c>
      <c r="E127" s="70">
        <v>78.809450720000001</v>
      </c>
      <c r="G127" s="15">
        <v>0.95</v>
      </c>
      <c r="H127" s="21">
        <v>1</v>
      </c>
      <c r="M127">
        <v>20</v>
      </c>
      <c r="N127">
        <v>2006</v>
      </c>
      <c r="O127" s="22"/>
      <c r="S127" s="16"/>
    </row>
    <row r="128" spans="1:19" x14ac:dyDescent="0.2">
      <c r="A128" s="19" t="s">
        <v>253</v>
      </c>
      <c r="B128" t="s">
        <v>241</v>
      </c>
      <c r="C128" s="67">
        <v>3.5154644267599999</v>
      </c>
      <c r="E128" s="69">
        <v>70.309288535199997</v>
      </c>
      <c r="G128" s="16">
        <v>0.73</v>
      </c>
      <c r="H128" s="21"/>
      <c r="M128">
        <v>20</v>
      </c>
      <c r="N128">
        <v>2006</v>
      </c>
      <c r="O128" s="22"/>
      <c r="S128" s="16"/>
    </row>
    <row r="129" spans="1:19" x14ac:dyDescent="0.2">
      <c r="A129" t="s">
        <v>254</v>
      </c>
      <c r="B129" t="s">
        <v>103</v>
      </c>
      <c r="C129" s="67">
        <v>3.8670108694359997</v>
      </c>
      <c r="E129" s="69">
        <v>77.340217388719992</v>
      </c>
      <c r="G129" s="16">
        <v>0.85</v>
      </c>
      <c r="H129" s="21">
        <v>0.41799999999999998</v>
      </c>
      <c r="M129">
        <v>20</v>
      </c>
      <c r="N129">
        <v>2006</v>
      </c>
      <c r="O129" s="22"/>
      <c r="S129" s="16"/>
    </row>
    <row r="130" spans="1:19" x14ac:dyDescent="0.2">
      <c r="A130" s="19" t="s">
        <v>109</v>
      </c>
      <c r="B130" t="s">
        <v>110</v>
      </c>
      <c r="C130" s="67">
        <v>15.7055976792</v>
      </c>
      <c r="E130" s="69">
        <v>314.11195358399999</v>
      </c>
      <c r="G130" s="16">
        <v>1</v>
      </c>
      <c r="H130" s="21">
        <v>0.38</v>
      </c>
      <c r="M130">
        <v>20</v>
      </c>
      <c r="N130">
        <v>2006</v>
      </c>
      <c r="O130" s="22"/>
      <c r="S130" s="16"/>
    </row>
    <row r="131" spans="1:19" x14ac:dyDescent="0.2">
      <c r="A131" t="s">
        <v>130</v>
      </c>
      <c r="B131" t="s">
        <v>106</v>
      </c>
      <c r="C131" s="67">
        <v>34.233422000000004</v>
      </c>
      <c r="E131" s="67">
        <v>1711.6711</v>
      </c>
      <c r="G131" s="14">
        <v>1</v>
      </c>
      <c r="H131" s="21">
        <v>1.0731707317073171</v>
      </c>
      <c r="J131" s="21">
        <v>0.67999999999999994</v>
      </c>
      <c r="M131">
        <v>20</v>
      </c>
      <c r="N131">
        <v>2006</v>
      </c>
      <c r="O131" s="22"/>
      <c r="P131" t="s">
        <v>72</v>
      </c>
      <c r="Q131">
        <f>1-0.32</f>
        <v>0.67999999999999994</v>
      </c>
      <c r="S131" s="54"/>
    </row>
    <row r="132" spans="1:19" x14ac:dyDescent="0.2">
      <c r="A132" t="s">
        <v>296</v>
      </c>
      <c r="B132" t="s">
        <v>104</v>
      </c>
      <c r="C132" s="67">
        <v>34.532114</v>
      </c>
      <c r="E132" s="67">
        <v>1726.6057000000001</v>
      </c>
      <c r="G132" s="14">
        <v>1</v>
      </c>
      <c r="H132" s="21">
        <v>0.65853658536585369</v>
      </c>
      <c r="J132" s="21">
        <v>0.71</v>
      </c>
      <c r="M132">
        <v>20</v>
      </c>
      <c r="N132">
        <v>2006</v>
      </c>
      <c r="O132" s="22"/>
      <c r="P132" t="s">
        <v>72</v>
      </c>
      <c r="Q132">
        <f>1-0.29</f>
        <v>0.71</v>
      </c>
      <c r="S132" s="54"/>
    </row>
    <row r="133" spans="1:19" x14ac:dyDescent="0.2">
      <c r="A133" t="s">
        <v>257</v>
      </c>
      <c r="B133" t="s">
        <v>105</v>
      </c>
      <c r="C133" s="67">
        <v>34.532114</v>
      </c>
      <c r="E133" s="67">
        <v>1726.6057000000001</v>
      </c>
      <c r="G133" s="14">
        <v>1</v>
      </c>
      <c r="H133" s="21">
        <v>0.65853658536585369</v>
      </c>
      <c r="J133" s="21">
        <v>0.67999999999999994</v>
      </c>
      <c r="M133">
        <v>20</v>
      </c>
      <c r="N133">
        <v>2006</v>
      </c>
      <c r="O133" s="22"/>
      <c r="P133" t="s">
        <v>72</v>
      </c>
      <c r="Q133">
        <f>1-0.32</f>
        <v>0.67999999999999994</v>
      </c>
      <c r="S133" s="54"/>
    </row>
    <row r="134" spans="1:19" x14ac:dyDescent="0.2">
      <c r="A134" t="s">
        <v>255</v>
      </c>
      <c r="B134" t="s">
        <v>107</v>
      </c>
      <c r="C134" s="67">
        <v>16.887739440000001</v>
      </c>
      <c r="E134" s="69">
        <v>337.75478879999997</v>
      </c>
      <c r="G134">
        <v>0.85</v>
      </c>
      <c r="H134" s="21">
        <v>0.41799999999999998</v>
      </c>
      <c r="M134">
        <v>20</v>
      </c>
      <c r="N134">
        <v>2006</v>
      </c>
      <c r="O134" s="22"/>
      <c r="S134" s="16"/>
    </row>
    <row r="135" spans="1:19" x14ac:dyDescent="0.2">
      <c r="A135" t="s">
        <v>56</v>
      </c>
      <c r="B135" t="s">
        <v>53</v>
      </c>
      <c r="C135" s="69"/>
      <c r="E135" s="69"/>
      <c r="G135" s="16">
        <v>1</v>
      </c>
      <c r="M135">
        <v>20</v>
      </c>
      <c r="N135">
        <v>2010</v>
      </c>
      <c r="O135" s="22"/>
      <c r="S135" s="16"/>
    </row>
    <row r="136" spans="1:19" x14ac:dyDescent="0.2">
      <c r="A136" s="6" t="s">
        <v>222</v>
      </c>
      <c r="C136" s="23"/>
      <c r="E136" s="23"/>
      <c r="O136" s="22"/>
      <c r="S136" s="16"/>
    </row>
    <row r="137" spans="1:19" x14ac:dyDescent="0.2">
      <c r="A137" t="s">
        <v>255</v>
      </c>
      <c r="B137" t="s">
        <v>304</v>
      </c>
      <c r="C137" s="67">
        <v>9.2319642272000006</v>
      </c>
      <c r="E137" s="69">
        <v>184.63928454399999</v>
      </c>
      <c r="G137" s="16">
        <v>0.5</v>
      </c>
      <c r="M137">
        <v>20</v>
      </c>
      <c r="N137">
        <v>2006</v>
      </c>
      <c r="O137" s="22"/>
      <c r="S137" s="16"/>
    </row>
    <row r="138" spans="1:19" x14ac:dyDescent="0.2">
      <c r="A138" t="s">
        <v>235</v>
      </c>
      <c r="B138" t="s">
        <v>121</v>
      </c>
      <c r="C138" s="67">
        <v>0.82499999999999996</v>
      </c>
      <c r="E138" s="67">
        <v>75</v>
      </c>
      <c r="G138" s="14">
        <v>1</v>
      </c>
      <c r="M138">
        <v>15</v>
      </c>
      <c r="N138">
        <v>2006</v>
      </c>
      <c r="O138" s="22"/>
      <c r="S138" s="16"/>
    </row>
    <row r="139" spans="1:19" x14ac:dyDescent="0.2">
      <c r="A139" t="s">
        <v>170</v>
      </c>
      <c r="B139" s="16" t="s">
        <v>122</v>
      </c>
      <c r="C139" s="67">
        <v>89.862120000000004</v>
      </c>
      <c r="E139" s="67">
        <v>1797.2424000000001</v>
      </c>
      <c r="G139" s="16">
        <v>1</v>
      </c>
      <c r="J139" s="21">
        <v>0.57264957264957261</v>
      </c>
      <c r="M139">
        <v>15</v>
      </c>
      <c r="N139">
        <v>2006</v>
      </c>
      <c r="O139" s="22">
        <v>2.34</v>
      </c>
      <c r="P139" t="s">
        <v>71</v>
      </c>
      <c r="Q139">
        <f>1-1/O139</f>
        <v>0.57264957264957261</v>
      </c>
    </row>
    <row r="140" spans="1:19" x14ac:dyDescent="0.2">
      <c r="A140" t="s">
        <v>245</v>
      </c>
      <c r="B140" t="s">
        <v>123</v>
      </c>
      <c r="C140" s="67">
        <v>5.7933450000000004</v>
      </c>
      <c r="E140" s="67">
        <v>115.8669</v>
      </c>
      <c r="G140" s="16">
        <v>0.76</v>
      </c>
      <c r="M140">
        <v>15</v>
      </c>
      <c r="N140">
        <v>2006</v>
      </c>
      <c r="O140" s="22"/>
    </row>
    <row r="141" spans="1:19" x14ac:dyDescent="0.2">
      <c r="A141" s="15" t="s">
        <v>129</v>
      </c>
      <c r="B141" s="15" t="s">
        <v>127</v>
      </c>
      <c r="C141" s="70">
        <v>20.265287327999999</v>
      </c>
      <c r="E141" s="70">
        <v>1031.2779551359999</v>
      </c>
      <c r="G141" s="15">
        <v>1</v>
      </c>
      <c r="M141">
        <v>20</v>
      </c>
      <c r="N141">
        <v>2006</v>
      </c>
      <c r="O141" s="22"/>
    </row>
    <row r="142" spans="1:19" x14ac:dyDescent="0.2">
      <c r="A142" t="s">
        <v>249</v>
      </c>
      <c r="B142" t="s">
        <v>124</v>
      </c>
      <c r="C142" s="67">
        <v>3.0397930992000002</v>
      </c>
      <c r="E142" s="69">
        <v>60.795861983999998</v>
      </c>
      <c r="G142" s="16">
        <v>0.73</v>
      </c>
      <c r="M142">
        <v>15</v>
      </c>
      <c r="N142">
        <v>2006</v>
      </c>
      <c r="O142" s="22"/>
    </row>
    <row r="143" spans="1:19" x14ac:dyDescent="0.2">
      <c r="A143" t="s">
        <v>252</v>
      </c>
      <c r="B143" t="s">
        <v>136</v>
      </c>
      <c r="C143" s="67">
        <v>4.1656423951999999</v>
      </c>
      <c r="E143" s="69">
        <v>83.312847903999995</v>
      </c>
      <c r="G143" s="16">
        <v>0.57999999999999996</v>
      </c>
      <c r="J143" s="21"/>
      <c r="M143">
        <v>15</v>
      </c>
      <c r="N143">
        <v>2006</v>
      </c>
      <c r="O143" s="22"/>
    </row>
    <row r="144" spans="1:19" x14ac:dyDescent="0.2">
      <c r="A144" t="s">
        <v>130</v>
      </c>
      <c r="B144" t="s">
        <v>131</v>
      </c>
      <c r="C144" s="67">
        <v>34.233422000000004</v>
      </c>
      <c r="E144" s="67">
        <v>1711.6711</v>
      </c>
      <c r="G144" s="14">
        <v>1</v>
      </c>
      <c r="J144" s="21">
        <v>0.2</v>
      </c>
      <c r="K144">
        <v>1358</v>
      </c>
      <c r="M144">
        <v>15</v>
      </c>
      <c r="N144">
        <v>2006</v>
      </c>
      <c r="O144" s="22"/>
      <c r="P144" t="s">
        <v>72</v>
      </c>
      <c r="Q144">
        <v>0.2</v>
      </c>
    </row>
    <row r="145" spans="1:19" x14ac:dyDescent="0.2">
      <c r="A145" t="s">
        <v>256</v>
      </c>
      <c r="B145" t="s">
        <v>125</v>
      </c>
      <c r="C145" s="67">
        <v>34.532114</v>
      </c>
      <c r="E145" s="67">
        <v>1726.6057000000001</v>
      </c>
      <c r="G145" s="14">
        <v>1</v>
      </c>
      <c r="J145" s="21">
        <v>0.2</v>
      </c>
      <c r="K145">
        <v>733</v>
      </c>
      <c r="M145">
        <v>15</v>
      </c>
      <c r="N145">
        <v>2006</v>
      </c>
      <c r="O145" s="22"/>
      <c r="P145" t="s">
        <v>72</v>
      </c>
      <c r="Q145">
        <v>0.2</v>
      </c>
    </row>
    <row r="146" spans="1:19" x14ac:dyDescent="0.2">
      <c r="A146" t="s">
        <v>128</v>
      </c>
      <c r="B146" t="s">
        <v>126</v>
      </c>
      <c r="C146" s="67">
        <v>34.532114</v>
      </c>
      <c r="E146" s="67">
        <v>1726.6057000000001</v>
      </c>
      <c r="G146" s="14">
        <v>1</v>
      </c>
      <c r="J146" s="21">
        <v>0.2</v>
      </c>
      <c r="K146">
        <v>834</v>
      </c>
      <c r="M146">
        <v>15</v>
      </c>
      <c r="N146">
        <v>2006</v>
      </c>
      <c r="O146" s="22"/>
      <c r="P146" t="s">
        <v>72</v>
      </c>
      <c r="Q146">
        <v>0.2</v>
      </c>
    </row>
    <row r="147" spans="1:19" x14ac:dyDescent="0.2">
      <c r="A147" t="s">
        <v>55</v>
      </c>
      <c r="B147" t="s">
        <v>54</v>
      </c>
      <c r="C147" s="72">
        <v>240</v>
      </c>
      <c r="E147" s="72">
        <v>12000</v>
      </c>
      <c r="G147" s="16">
        <v>1</v>
      </c>
      <c r="M147">
        <v>15</v>
      </c>
      <c r="N147">
        <v>2010</v>
      </c>
      <c r="O147" s="22"/>
    </row>
    <row r="148" spans="1:19" x14ac:dyDescent="0.2">
      <c r="A148" s="6" t="s">
        <v>223</v>
      </c>
      <c r="C148" s="23"/>
      <c r="E148" s="23"/>
      <c r="O148" s="22"/>
    </row>
    <row r="149" spans="1:19" x14ac:dyDescent="0.2">
      <c r="A149" t="s">
        <v>235</v>
      </c>
      <c r="B149" t="s">
        <v>132</v>
      </c>
      <c r="C149" s="67">
        <v>24.05</v>
      </c>
      <c r="E149" s="67">
        <v>481</v>
      </c>
      <c r="G149" s="16">
        <v>3</v>
      </c>
      <c r="M149">
        <v>10</v>
      </c>
      <c r="N149">
        <v>2006</v>
      </c>
      <c r="O149" s="22"/>
    </row>
    <row r="150" spans="1:19" x14ac:dyDescent="0.2">
      <c r="A150" t="s">
        <v>242</v>
      </c>
      <c r="B150" t="s">
        <v>133</v>
      </c>
      <c r="C150" s="67">
        <v>7.5994827479999998</v>
      </c>
      <c r="E150" s="69">
        <v>151.98965496</v>
      </c>
      <c r="G150" s="16">
        <v>0.4</v>
      </c>
      <c r="M150">
        <v>10</v>
      </c>
      <c r="N150">
        <v>2006</v>
      </c>
      <c r="O150" s="22"/>
    </row>
    <row r="151" spans="1:19" x14ac:dyDescent="0.2">
      <c r="A151" t="s">
        <v>243</v>
      </c>
      <c r="B151" t="s">
        <v>134</v>
      </c>
      <c r="C151" s="67">
        <v>0.72955034380799999</v>
      </c>
      <c r="E151" s="69">
        <v>91.193792975999997</v>
      </c>
      <c r="G151" s="16">
        <v>3.1</v>
      </c>
      <c r="M151">
        <v>10</v>
      </c>
      <c r="N151">
        <v>2006</v>
      </c>
      <c r="O151" s="22"/>
    </row>
    <row r="152" spans="1:19" x14ac:dyDescent="0.2">
      <c r="A152" t="s">
        <v>244</v>
      </c>
      <c r="B152" s="56" t="s">
        <v>138</v>
      </c>
      <c r="C152" s="67">
        <v>2.6640000000000001</v>
      </c>
      <c r="E152" s="67">
        <v>333</v>
      </c>
      <c r="G152" s="16">
        <v>2.93</v>
      </c>
      <c r="M152">
        <v>15</v>
      </c>
      <c r="N152">
        <v>2006</v>
      </c>
      <c r="O152" s="22"/>
    </row>
    <row r="153" spans="1:19" x14ac:dyDescent="0.2">
      <c r="A153" t="s">
        <v>175</v>
      </c>
      <c r="B153" t="s">
        <v>137</v>
      </c>
      <c r="C153" s="67">
        <v>2.1796442370559999</v>
      </c>
      <c r="E153" s="67">
        <v>272.45552963199998</v>
      </c>
      <c r="G153" s="16">
        <v>2.75</v>
      </c>
      <c r="M153">
        <v>15</v>
      </c>
      <c r="N153">
        <v>2006</v>
      </c>
      <c r="O153" s="22"/>
    </row>
    <row r="154" spans="1:19" x14ac:dyDescent="0.2">
      <c r="A154" t="s">
        <v>246</v>
      </c>
      <c r="B154" s="56" t="s">
        <v>139</v>
      </c>
      <c r="C154" s="67">
        <v>97.048209315199998</v>
      </c>
      <c r="E154" s="69">
        <v>1940.9641863039999</v>
      </c>
      <c r="G154" s="16">
        <v>4.41</v>
      </c>
      <c r="M154">
        <v>15</v>
      </c>
      <c r="N154">
        <v>2006</v>
      </c>
      <c r="O154" s="22"/>
    </row>
    <row r="155" spans="1:19" x14ac:dyDescent="0.2">
      <c r="A155" t="s">
        <v>176</v>
      </c>
      <c r="B155" s="56" t="s">
        <v>135</v>
      </c>
      <c r="C155" s="67">
        <v>69.127146774400003</v>
      </c>
      <c r="E155" s="69">
        <v>1382.542935488</v>
      </c>
      <c r="G155" s="16">
        <v>1.0349999999999999</v>
      </c>
      <c r="M155">
        <v>15</v>
      </c>
      <c r="N155">
        <v>2006</v>
      </c>
      <c r="O155" s="22"/>
    </row>
    <row r="156" spans="1:19" x14ac:dyDescent="0.2">
      <c r="A156" s="6" t="s">
        <v>181</v>
      </c>
      <c r="C156" s="23"/>
      <c r="E156" s="23"/>
      <c r="O156" s="22"/>
    </row>
    <row r="157" spans="1:19" x14ac:dyDescent="0.2">
      <c r="A157" t="s">
        <v>140</v>
      </c>
      <c r="B157" s="30" t="s">
        <v>470</v>
      </c>
      <c r="C157" s="23">
        <v>1.8013588736000001E-2</v>
      </c>
      <c r="E157" s="23">
        <v>0.90067943679999996</v>
      </c>
      <c r="G157" s="16">
        <v>1</v>
      </c>
      <c r="M157">
        <v>15</v>
      </c>
      <c r="N157">
        <v>2006</v>
      </c>
      <c r="O157" s="22"/>
    </row>
    <row r="158" spans="1:19" x14ac:dyDescent="0.2">
      <c r="A158" t="s">
        <v>141</v>
      </c>
      <c r="B158" s="30" t="s">
        <v>471</v>
      </c>
      <c r="C158" s="23">
        <v>6.7550957759999995E-3</v>
      </c>
      <c r="E158" s="23">
        <v>0.33775478879999998</v>
      </c>
      <c r="G158" s="16">
        <v>1</v>
      </c>
      <c r="M158">
        <v>15</v>
      </c>
      <c r="N158">
        <v>2006</v>
      </c>
      <c r="O158" s="22"/>
    </row>
    <row r="159" spans="1:19" x14ac:dyDescent="0.2">
      <c r="A159" t="s">
        <v>142</v>
      </c>
      <c r="B159" s="30" t="s">
        <v>472</v>
      </c>
      <c r="C159" s="23">
        <v>4.5033971840000003E-3</v>
      </c>
      <c r="E159" s="23">
        <v>0.22516985919999999</v>
      </c>
      <c r="G159" s="16">
        <v>0.6</v>
      </c>
      <c r="M159">
        <v>15</v>
      </c>
      <c r="N159">
        <v>2006</v>
      </c>
      <c r="O159" s="22"/>
      <c r="Q159" s="30" t="s">
        <v>512</v>
      </c>
      <c r="S159" s="30" t="s">
        <v>513</v>
      </c>
    </row>
    <row r="160" spans="1:19" x14ac:dyDescent="0.2">
      <c r="A160" t="s">
        <v>143</v>
      </c>
      <c r="B160" t="s">
        <v>74</v>
      </c>
      <c r="C160" s="23"/>
      <c r="E160" s="23">
        <v>1.1258492960000001E-3</v>
      </c>
      <c r="G160" s="132">
        <f>Q160/S160</f>
        <v>0.23837902264600713</v>
      </c>
      <c r="M160">
        <v>1</v>
      </c>
      <c r="N160">
        <v>2006</v>
      </c>
      <c r="O160" s="22"/>
      <c r="Q160" s="16">
        <v>1</v>
      </c>
      <c r="S160" s="22">
        <f>3%*1+7%*1.5+20%*2.8+70%*5</f>
        <v>4.1950000000000003</v>
      </c>
    </row>
    <row r="161" spans="1:24" x14ac:dyDescent="0.2">
      <c r="A161" s="19" t="s">
        <v>144</v>
      </c>
      <c r="B161" t="s">
        <v>287</v>
      </c>
      <c r="C161" s="23"/>
      <c r="E161" s="129">
        <v>6.7550957759999995E-3</v>
      </c>
      <c r="G161" s="132">
        <f>Q161/S160</f>
        <v>0.66746126340881995</v>
      </c>
      <c r="M161">
        <v>2</v>
      </c>
      <c r="N161">
        <v>2006</v>
      </c>
      <c r="O161" s="22"/>
      <c r="Q161" s="128">
        <v>2.8</v>
      </c>
    </row>
    <row r="162" spans="1:24" x14ac:dyDescent="0.2">
      <c r="A162" t="s">
        <v>145</v>
      </c>
      <c r="B162" t="s">
        <v>75</v>
      </c>
      <c r="C162" s="23"/>
      <c r="E162" s="129">
        <v>2.2516985920000001E-3</v>
      </c>
      <c r="G162" s="132">
        <f>Q162/S160</f>
        <v>0.66746126340881995</v>
      </c>
      <c r="M162">
        <v>5</v>
      </c>
      <c r="N162">
        <v>2006</v>
      </c>
      <c r="O162" s="22"/>
      <c r="Q162" s="16">
        <v>2.8</v>
      </c>
    </row>
    <row r="163" spans="1:24" x14ac:dyDescent="0.2">
      <c r="A163" t="s">
        <v>146</v>
      </c>
      <c r="B163" t="s">
        <v>288</v>
      </c>
      <c r="C163" s="23"/>
      <c r="E163" s="129">
        <v>2.5331609159999998E-3</v>
      </c>
      <c r="G163" s="132">
        <f>Q163/S160</f>
        <v>1.1918951132300357</v>
      </c>
      <c r="M163">
        <v>8</v>
      </c>
      <c r="N163">
        <v>2006</v>
      </c>
      <c r="O163" s="22"/>
      <c r="Q163" s="16">
        <v>5</v>
      </c>
    </row>
    <row r="164" spans="1:24" x14ac:dyDescent="0.2">
      <c r="A164" t="s">
        <v>151</v>
      </c>
      <c r="B164" s="30" t="s">
        <v>481</v>
      </c>
      <c r="C164" s="23">
        <v>8.4438697199999985E-3</v>
      </c>
      <c r="E164" s="23">
        <v>0.8443869719999999</v>
      </c>
      <c r="G164" s="16">
        <v>1</v>
      </c>
      <c r="M164">
        <v>15</v>
      </c>
      <c r="N164">
        <v>2006</v>
      </c>
      <c r="O164" s="22"/>
    </row>
    <row r="165" spans="1:24" x14ac:dyDescent="0.2">
      <c r="A165" t="s">
        <v>177</v>
      </c>
      <c r="B165" t="s">
        <v>226</v>
      </c>
      <c r="C165" s="23">
        <v>1.1258492960000001E-3</v>
      </c>
      <c r="E165" s="23">
        <v>0.11258492959999999</v>
      </c>
      <c r="G165" s="16">
        <v>1</v>
      </c>
      <c r="M165">
        <v>15</v>
      </c>
      <c r="N165">
        <v>2006</v>
      </c>
      <c r="O165" s="22"/>
    </row>
    <row r="166" spans="1:24" x14ac:dyDescent="0.2">
      <c r="A166" t="s">
        <v>147</v>
      </c>
      <c r="B166" t="s">
        <v>289</v>
      </c>
      <c r="C166" s="22">
        <v>1.7157943271039998E-2</v>
      </c>
      <c r="D166" s="22"/>
      <c r="E166" s="22">
        <v>0.42894858177599998</v>
      </c>
      <c r="F166" s="22"/>
      <c r="G166" s="54">
        <v>1.54</v>
      </c>
      <c r="M166">
        <v>15</v>
      </c>
      <c r="N166">
        <v>2006</v>
      </c>
      <c r="O166" s="22"/>
    </row>
    <row r="167" spans="1:24" x14ac:dyDescent="0.2">
      <c r="A167" t="s">
        <v>148</v>
      </c>
      <c r="B167" t="s">
        <v>76</v>
      </c>
      <c r="C167" s="22">
        <v>1.3082368819519999E-2</v>
      </c>
      <c r="D167" s="22"/>
      <c r="E167" s="22">
        <v>0.65411844097599992</v>
      </c>
      <c r="F167" s="22"/>
      <c r="G167" s="54">
        <v>2.86</v>
      </c>
      <c r="H167">
        <v>1.857142857142857</v>
      </c>
      <c r="M167">
        <v>15</v>
      </c>
      <c r="N167">
        <v>2006</v>
      </c>
      <c r="O167" s="22"/>
    </row>
    <row r="168" spans="1:24" x14ac:dyDescent="0.2">
      <c r="A168" t="s">
        <v>149</v>
      </c>
      <c r="B168" t="s">
        <v>290</v>
      </c>
      <c r="C168" s="22">
        <v>8.5789716355199989E-3</v>
      </c>
      <c r="D168" s="22"/>
      <c r="E168" s="22">
        <v>0.42894858177599998</v>
      </c>
      <c r="F168" s="22"/>
      <c r="G168" s="54">
        <v>1.62</v>
      </c>
      <c r="M168">
        <v>15</v>
      </c>
      <c r="N168">
        <v>2006</v>
      </c>
      <c r="O168" s="22"/>
    </row>
    <row r="169" spans="1:24" x14ac:dyDescent="0.2">
      <c r="A169" t="s">
        <v>150</v>
      </c>
      <c r="B169" t="s">
        <v>291</v>
      </c>
      <c r="C169" s="22">
        <v>5.9670012688E-3</v>
      </c>
      <c r="D169" s="22"/>
      <c r="E169" s="22">
        <v>0.59670012687999996</v>
      </c>
      <c r="F169" s="22"/>
      <c r="G169" s="54">
        <v>3.01</v>
      </c>
      <c r="H169">
        <v>1.8580246913580245</v>
      </c>
      <c r="M169">
        <v>15</v>
      </c>
      <c r="N169">
        <v>2006</v>
      </c>
      <c r="O169" s="22"/>
    </row>
    <row r="170" spans="1:24" x14ac:dyDescent="0.2">
      <c r="A170" s="121"/>
      <c r="B170" s="121"/>
      <c r="C170" s="122"/>
      <c r="D170" s="122"/>
      <c r="E170" s="122"/>
      <c r="F170" s="121"/>
      <c r="G170" s="123"/>
      <c r="H170" s="121"/>
      <c r="I170" s="121"/>
      <c r="J170" s="121"/>
      <c r="K170" s="121"/>
      <c r="L170" s="121"/>
      <c r="M170" s="121"/>
      <c r="N170" s="121"/>
      <c r="O170" s="22"/>
      <c r="P170" s="121"/>
    </row>
    <row r="171" spans="1:24" x14ac:dyDescent="0.2">
      <c r="C171" s="73"/>
      <c r="D171" s="73"/>
      <c r="E171" s="38"/>
      <c r="F171" s="38"/>
      <c r="G171" s="38"/>
      <c r="H171" s="36"/>
      <c r="I171" s="38"/>
      <c r="J171" s="38"/>
      <c r="K171" s="39"/>
      <c r="L171" s="39"/>
      <c r="O171" s="22"/>
    </row>
    <row r="172" spans="1:24" x14ac:dyDescent="0.2">
      <c r="C172" s="23"/>
      <c r="D172" s="23"/>
      <c r="O172" s="22"/>
    </row>
    <row r="173" spans="1:24" x14ac:dyDescent="0.2">
      <c r="A173" s="6" t="s">
        <v>52</v>
      </c>
      <c r="C173" s="23"/>
      <c r="D173" s="23"/>
      <c r="O173" s="22"/>
    </row>
    <row r="174" spans="1:24" x14ac:dyDescent="0.2">
      <c r="C174" s="23"/>
      <c r="D174" s="23"/>
      <c r="O174" s="23"/>
    </row>
    <row r="175" spans="1:24" x14ac:dyDescent="0.2">
      <c r="A175" s="24" t="s">
        <v>394</v>
      </c>
      <c r="B175" s="25" t="s">
        <v>285</v>
      </c>
      <c r="C175" t="s">
        <v>396</v>
      </c>
      <c r="D175" t="s">
        <v>25</v>
      </c>
      <c r="E175" t="s">
        <v>391</v>
      </c>
      <c r="F175" t="s">
        <v>392</v>
      </c>
      <c r="G175" t="s">
        <v>390</v>
      </c>
      <c r="H175" t="s">
        <v>216</v>
      </c>
      <c r="I175" t="s">
        <v>280</v>
      </c>
      <c r="J175" t="s">
        <v>393</v>
      </c>
      <c r="O175" s="22"/>
      <c r="X175">
        <v>20</v>
      </c>
    </row>
    <row r="176" spans="1:24" x14ac:dyDescent="0.2">
      <c r="A176" s="24" t="s">
        <v>395</v>
      </c>
      <c r="B176" s="25" t="s">
        <v>286</v>
      </c>
      <c r="C176">
        <v>2010</v>
      </c>
      <c r="D176" s="90">
        <v>50000</v>
      </c>
      <c r="E176" s="87">
        <f>200/3.6</f>
        <v>55.555555555555557</v>
      </c>
      <c r="F176" s="89">
        <v>0.36</v>
      </c>
      <c r="G176" s="22">
        <f>J176/F176</f>
        <v>1.4444444444444446</v>
      </c>
      <c r="H176">
        <v>20</v>
      </c>
      <c r="I176">
        <v>2006</v>
      </c>
      <c r="J176" s="89">
        <v>0.52</v>
      </c>
      <c r="O176" s="22"/>
    </row>
    <row r="177" spans="3:21" x14ac:dyDescent="0.2">
      <c r="C177">
        <v>2020</v>
      </c>
      <c r="D177">
        <v>15000</v>
      </c>
      <c r="E177" s="87">
        <f>115/3.6</f>
        <v>31.944444444444443</v>
      </c>
      <c r="F177" s="89">
        <v>0.37</v>
      </c>
      <c r="G177" s="22">
        <f>J177/F177</f>
        <v>1.4054054054054055</v>
      </c>
      <c r="J177" s="89">
        <v>0.52</v>
      </c>
    </row>
    <row r="178" spans="3:21" x14ac:dyDescent="0.2">
      <c r="C178">
        <v>2030</v>
      </c>
      <c r="D178" s="74">
        <v>11500</v>
      </c>
      <c r="E178" s="87">
        <f>70/3.6</f>
        <v>19.444444444444443</v>
      </c>
      <c r="F178" s="89">
        <v>0.38</v>
      </c>
      <c r="G178" s="22">
        <f>J178/F178</f>
        <v>1.368421052631579</v>
      </c>
      <c r="J178" s="89">
        <v>0.52</v>
      </c>
    </row>
    <row r="179" spans="3:21" x14ac:dyDescent="0.2">
      <c r="C179">
        <v>2040</v>
      </c>
      <c r="D179">
        <v>8500</v>
      </c>
      <c r="E179" s="87">
        <f>50/3.6</f>
        <v>13.888888888888889</v>
      </c>
      <c r="F179" s="89">
        <v>0.39</v>
      </c>
      <c r="G179" s="22">
        <f>J179/F179</f>
        <v>1.3333333333333333</v>
      </c>
      <c r="J179" s="89">
        <v>0.52</v>
      </c>
    </row>
    <row r="180" spans="3:21" x14ac:dyDescent="0.2">
      <c r="C180">
        <v>2050</v>
      </c>
      <c r="D180">
        <v>7800</v>
      </c>
      <c r="E180" s="87">
        <f>45/3.6</f>
        <v>12.5</v>
      </c>
      <c r="F180" s="89">
        <v>0.39</v>
      </c>
      <c r="G180" s="22">
        <f>J180/F180</f>
        <v>1.3333333333333333</v>
      </c>
      <c r="J180" s="89">
        <v>0.52</v>
      </c>
    </row>
    <row r="181" spans="3:21" x14ac:dyDescent="0.2">
      <c r="H181" s="88"/>
      <c r="I181" s="88"/>
    </row>
    <row r="182" spans="3:21" x14ac:dyDescent="0.2">
      <c r="C182" t="s">
        <v>397</v>
      </c>
      <c r="H182" s="88"/>
      <c r="I182" s="88"/>
    </row>
    <row r="183" spans="3:21" x14ac:dyDescent="0.2">
      <c r="C183">
        <v>2010</v>
      </c>
      <c r="D183" s="58">
        <v>18000</v>
      </c>
      <c r="E183" s="87">
        <f>120/3.6</f>
        <v>33.333333333333336</v>
      </c>
      <c r="F183" s="29">
        <v>0.53</v>
      </c>
      <c r="G183" s="22">
        <f>J183/F183</f>
        <v>0.60377358490566035</v>
      </c>
      <c r="H183">
        <v>20</v>
      </c>
      <c r="I183">
        <v>2006</v>
      </c>
      <c r="J183" s="29">
        <v>0.32</v>
      </c>
    </row>
    <row r="184" spans="3:21" x14ac:dyDescent="0.2">
      <c r="C184">
        <v>2020</v>
      </c>
      <c r="D184">
        <v>6300</v>
      </c>
      <c r="E184" s="87">
        <f>65/3.6</f>
        <v>18.055555555555554</v>
      </c>
      <c r="F184" s="29">
        <v>0.53</v>
      </c>
      <c r="G184" s="22">
        <f>J184/F184</f>
        <v>0.60377358490566035</v>
      </c>
      <c r="J184" s="29">
        <v>0.32</v>
      </c>
    </row>
    <row r="185" spans="3:21" x14ac:dyDescent="0.2">
      <c r="C185">
        <v>2030</v>
      </c>
      <c r="D185" s="74">
        <v>4000</v>
      </c>
      <c r="E185" s="87">
        <f>25/3.6</f>
        <v>6.9444444444444446</v>
      </c>
      <c r="F185" s="29">
        <v>0.55000000000000004</v>
      </c>
      <c r="G185" s="22">
        <f>J185/F185</f>
        <v>0.58181818181818179</v>
      </c>
      <c r="J185" s="29">
        <v>0.32</v>
      </c>
    </row>
    <row r="186" spans="3:21" x14ac:dyDescent="0.2">
      <c r="C186">
        <v>2040</v>
      </c>
      <c r="D186">
        <v>2550</v>
      </c>
      <c r="E186" s="87">
        <f>10/3.6</f>
        <v>2.7777777777777777</v>
      </c>
      <c r="F186" s="29">
        <v>0.59</v>
      </c>
      <c r="G186" s="22">
        <f>J186/F186</f>
        <v>0.57627118644067798</v>
      </c>
      <c r="J186" s="29">
        <v>0.34</v>
      </c>
    </row>
    <row r="187" spans="3:21" x14ac:dyDescent="0.2">
      <c r="C187">
        <v>2050</v>
      </c>
      <c r="D187">
        <v>1850</v>
      </c>
      <c r="E187" s="87">
        <f>8/3.6</f>
        <v>2.2222222222222223</v>
      </c>
      <c r="F187" s="29">
        <v>0.6</v>
      </c>
      <c r="G187" s="22">
        <f>J187/F187</f>
        <v>0.56666666666666676</v>
      </c>
      <c r="J187" s="29">
        <v>0.34</v>
      </c>
      <c r="L187" s="29"/>
      <c r="M187" s="29"/>
      <c r="Q187" s="22"/>
      <c r="R187" s="22"/>
      <c r="S187" s="22"/>
      <c r="T187" s="22"/>
      <c r="U187" s="22"/>
    </row>
    <row r="188" spans="3:21" x14ac:dyDescent="0.2">
      <c r="C188" s="23"/>
      <c r="D188" s="23"/>
      <c r="I188" s="89"/>
      <c r="J188" s="89"/>
      <c r="K188" s="89"/>
      <c r="L188" s="89"/>
      <c r="M188" s="89"/>
      <c r="Q188" s="22"/>
      <c r="R188" s="22"/>
      <c r="S188" s="22"/>
      <c r="T188" s="22"/>
      <c r="U188" s="22"/>
    </row>
    <row r="189" spans="3:21" x14ac:dyDescent="0.2">
      <c r="C189" s="23"/>
      <c r="D189" s="23"/>
      <c r="Q189" s="22"/>
      <c r="R189" s="22"/>
      <c r="S189" s="22"/>
      <c r="T189" s="22"/>
      <c r="U189" s="22"/>
    </row>
    <row r="191" spans="3:21" x14ac:dyDescent="0.2">
      <c r="S191" s="27"/>
    </row>
    <row r="193" spans="19:19" x14ac:dyDescent="0.2">
      <c r="S193" s="27"/>
    </row>
    <row r="205" spans="19:19" x14ac:dyDescent="0.2">
      <c r="S205" s="22"/>
    </row>
    <row r="206" spans="19:19" x14ac:dyDescent="0.2">
      <c r="S206" s="22"/>
    </row>
    <row r="207" spans="19:19" x14ac:dyDescent="0.2">
      <c r="S207" s="22"/>
    </row>
    <row r="208" spans="19:19" x14ac:dyDescent="0.2">
      <c r="S208" s="22"/>
    </row>
    <row r="209" spans="19:19" x14ac:dyDescent="0.2">
      <c r="S209" s="22"/>
    </row>
  </sheetData>
  <phoneticPr fontId="13" type="noConversion"/>
  <pageMargins left="0.75" right="0.75" top="1" bottom="1" header="0.5" footer="0.5"/>
  <pageSetup paperSize="9" scale="79" fitToHeight="2" orientation="portrait" r:id="rId1"/>
  <headerFooter alignWithMargins="0"/>
  <rowBreaks count="1" manualBreakCount="1">
    <brk id="74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9"/>
  <sheetViews>
    <sheetView topLeftCell="A4" zoomScaleNormal="100" workbookViewId="0"/>
  </sheetViews>
  <sheetFormatPr defaultRowHeight="12.75" x14ac:dyDescent="0.2"/>
  <cols>
    <col min="1" max="1" width="10.5703125" customWidth="1"/>
    <col min="2" max="2" width="54.85546875" bestFit="1" customWidth="1"/>
    <col min="3" max="3" width="20" bestFit="1" customWidth="1"/>
    <col min="4" max="8" width="10.5703125" customWidth="1"/>
    <col min="9" max="9" width="14.28515625" bestFit="1" customWidth="1"/>
    <col min="10" max="10" width="16.42578125" bestFit="1" customWidth="1"/>
    <col min="11" max="13" width="10.5703125" customWidth="1"/>
    <col min="14" max="29" width="11.5703125" customWidth="1"/>
  </cols>
  <sheetData>
    <row r="1" spans="1:29" s="30" customFormat="1" x14ac:dyDescent="0.2">
      <c r="A1" s="30" t="s">
        <v>316</v>
      </c>
      <c r="B1" s="30" t="s">
        <v>317</v>
      </c>
      <c r="C1" s="30" t="s">
        <v>318</v>
      </c>
      <c r="D1" s="30" t="s">
        <v>319</v>
      </c>
      <c r="E1" s="30" t="s">
        <v>320</v>
      </c>
      <c r="F1" s="30" t="s">
        <v>321</v>
      </c>
      <c r="G1" s="30" t="s">
        <v>322</v>
      </c>
      <c r="H1" s="30" t="s">
        <v>323</v>
      </c>
      <c r="I1" s="30" t="s">
        <v>324</v>
      </c>
      <c r="J1" s="30" t="s">
        <v>325</v>
      </c>
      <c r="K1" s="30" t="s">
        <v>326</v>
      </c>
      <c r="L1" s="30" t="s">
        <v>327</v>
      </c>
      <c r="M1" s="30" t="s">
        <v>328</v>
      </c>
      <c r="N1" s="30" t="s">
        <v>329</v>
      </c>
      <c r="O1" s="30" t="s">
        <v>330</v>
      </c>
      <c r="P1" s="30" t="s">
        <v>331</v>
      </c>
      <c r="Q1" s="30" t="s">
        <v>332</v>
      </c>
      <c r="R1" s="30" t="s">
        <v>333</v>
      </c>
      <c r="S1" s="30" t="s">
        <v>334</v>
      </c>
      <c r="T1" s="30" t="s">
        <v>335</v>
      </c>
      <c r="U1" s="30" t="s">
        <v>336</v>
      </c>
      <c r="V1" s="30" t="s">
        <v>337</v>
      </c>
      <c r="W1" s="30" t="s">
        <v>338</v>
      </c>
      <c r="X1" s="30" t="s">
        <v>339</v>
      </c>
      <c r="Y1" s="30" t="s">
        <v>340</v>
      </c>
      <c r="Z1" s="30" t="s">
        <v>341</v>
      </c>
      <c r="AA1" s="30" t="s">
        <v>342</v>
      </c>
      <c r="AB1" s="30" t="s">
        <v>343</v>
      </c>
    </row>
    <row r="2" spans="1:29" x14ac:dyDescent="0.2">
      <c r="A2" s="65" t="s">
        <v>344</v>
      </c>
      <c r="B2" s="65" t="s">
        <v>345</v>
      </c>
      <c r="C2" s="65"/>
      <c r="D2" s="65" t="s">
        <v>346</v>
      </c>
      <c r="E2" s="65" t="s">
        <v>347</v>
      </c>
      <c r="F2" s="65">
        <v>2010</v>
      </c>
      <c r="G2" s="65" t="s">
        <v>348</v>
      </c>
      <c r="H2" s="65"/>
      <c r="I2" s="65"/>
      <c r="J2" s="65">
        <v>2013</v>
      </c>
      <c r="K2" s="65">
        <v>1100</v>
      </c>
      <c r="L2" s="65">
        <v>800</v>
      </c>
      <c r="M2" s="65">
        <v>1800</v>
      </c>
      <c r="N2" s="65"/>
      <c r="O2" s="65"/>
      <c r="P2" s="65"/>
      <c r="Q2" s="65"/>
      <c r="R2" s="65"/>
      <c r="S2" s="65"/>
      <c r="T2" s="65"/>
      <c r="U2" s="65"/>
      <c r="V2" s="65">
        <v>25</v>
      </c>
      <c r="W2" s="65">
        <v>4</v>
      </c>
      <c r="X2" s="65">
        <v>10</v>
      </c>
      <c r="Y2" s="65">
        <v>20</v>
      </c>
      <c r="Z2" s="65"/>
      <c r="AA2" s="65">
        <v>4</v>
      </c>
      <c r="AB2" s="65"/>
      <c r="AC2" s="65"/>
    </row>
    <row r="3" spans="1:29" x14ac:dyDescent="0.2">
      <c r="A3" s="65" t="s">
        <v>344</v>
      </c>
      <c r="B3" s="65" t="s">
        <v>345</v>
      </c>
      <c r="C3" s="65"/>
      <c r="D3" s="65" t="s">
        <v>346</v>
      </c>
      <c r="E3" s="65" t="s">
        <v>347</v>
      </c>
      <c r="F3" s="65">
        <v>2020</v>
      </c>
      <c r="G3" s="65" t="s">
        <v>348</v>
      </c>
      <c r="H3" s="65"/>
      <c r="I3" s="65"/>
      <c r="J3" s="65">
        <v>2013</v>
      </c>
      <c r="K3" s="65">
        <v>1067</v>
      </c>
      <c r="L3" s="65">
        <v>776</v>
      </c>
      <c r="M3" s="65">
        <v>1746</v>
      </c>
      <c r="N3" s="65"/>
      <c r="O3" s="65"/>
      <c r="P3" s="65"/>
      <c r="Q3" s="65"/>
      <c r="R3" s="65"/>
      <c r="S3" s="65"/>
      <c r="T3" s="65"/>
      <c r="U3" s="65"/>
      <c r="V3" s="65">
        <v>5</v>
      </c>
      <c r="W3" s="65">
        <v>4.2</v>
      </c>
      <c r="X3" s="65"/>
      <c r="Y3" s="65">
        <v>20</v>
      </c>
      <c r="Z3" s="65"/>
      <c r="AA3" s="65">
        <v>4</v>
      </c>
      <c r="AB3" s="65"/>
      <c r="AC3" s="65"/>
    </row>
    <row r="4" spans="1:29" x14ac:dyDescent="0.2">
      <c r="A4" s="65" t="s">
        <v>344</v>
      </c>
      <c r="B4" s="65" t="s">
        <v>345</v>
      </c>
      <c r="C4" s="65"/>
      <c r="D4" s="65" t="s">
        <v>346</v>
      </c>
      <c r="E4" s="65" t="s">
        <v>347</v>
      </c>
      <c r="F4" s="65">
        <v>2030</v>
      </c>
      <c r="G4" s="65" t="s">
        <v>348</v>
      </c>
      <c r="H4" s="65"/>
      <c r="I4" s="65"/>
      <c r="J4" s="65">
        <v>2013</v>
      </c>
      <c r="K4" s="65">
        <v>1004</v>
      </c>
      <c r="L4" s="65">
        <v>730.4</v>
      </c>
      <c r="M4" s="65">
        <v>1643.4</v>
      </c>
      <c r="N4" s="65"/>
      <c r="O4" s="65"/>
      <c r="P4" s="65"/>
      <c r="Q4" s="65"/>
      <c r="R4" s="65"/>
      <c r="S4" s="65"/>
      <c r="T4" s="65"/>
      <c r="U4" s="65"/>
      <c r="V4" s="65">
        <v>5</v>
      </c>
      <c r="W4" s="65">
        <v>4.3</v>
      </c>
      <c r="X4" s="65"/>
      <c r="Y4" s="65">
        <v>20</v>
      </c>
      <c r="Z4" s="65"/>
      <c r="AA4" s="65">
        <v>3</v>
      </c>
      <c r="AB4" s="65"/>
      <c r="AC4" s="65"/>
    </row>
    <row r="5" spans="1:29" x14ac:dyDescent="0.2">
      <c r="A5" s="65" t="s">
        <v>344</v>
      </c>
      <c r="B5" s="65" t="s">
        <v>345</v>
      </c>
      <c r="C5" s="65"/>
      <c r="D5" s="65" t="s">
        <v>346</v>
      </c>
      <c r="E5" s="65" t="s">
        <v>347</v>
      </c>
      <c r="F5" s="65">
        <v>2040</v>
      </c>
      <c r="G5" s="65" t="s">
        <v>348</v>
      </c>
      <c r="H5" s="65"/>
      <c r="I5" s="65"/>
      <c r="J5" s="65">
        <v>2013</v>
      </c>
      <c r="K5" s="65">
        <v>945</v>
      </c>
      <c r="L5" s="65">
        <v>687.2</v>
      </c>
      <c r="M5" s="65">
        <v>1546.2</v>
      </c>
      <c r="N5" s="65"/>
      <c r="O5" s="65"/>
      <c r="P5" s="65"/>
      <c r="Q5" s="65"/>
      <c r="R5" s="65"/>
      <c r="S5" s="65"/>
      <c r="T5" s="65"/>
      <c r="U5" s="65"/>
      <c r="V5" s="65">
        <v>5</v>
      </c>
      <c r="W5" s="65">
        <v>4.4000000000000004</v>
      </c>
      <c r="X5" s="65"/>
      <c r="Y5" s="65">
        <v>20</v>
      </c>
      <c r="Z5" s="65"/>
      <c r="AA5" s="65">
        <v>3</v>
      </c>
      <c r="AB5" s="65"/>
      <c r="AC5" s="65"/>
    </row>
    <row r="6" spans="1:29" x14ac:dyDescent="0.2">
      <c r="A6" s="65" t="s">
        <v>344</v>
      </c>
      <c r="B6" s="65" t="s">
        <v>345</v>
      </c>
      <c r="C6" s="65"/>
      <c r="D6" s="65" t="s">
        <v>346</v>
      </c>
      <c r="E6" s="65" t="s">
        <v>347</v>
      </c>
      <c r="F6" s="65">
        <v>2050</v>
      </c>
      <c r="G6" s="65" t="s">
        <v>348</v>
      </c>
      <c r="H6" s="65"/>
      <c r="I6" s="65"/>
      <c r="J6" s="65">
        <v>2013</v>
      </c>
      <c r="K6" s="65">
        <v>889</v>
      </c>
      <c r="L6" s="65">
        <v>646.4</v>
      </c>
      <c r="M6" s="65">
        <v>1454.4</v>
      </c>
      <c r="N6" s="65"/>
      <c r="O6" s="65"/>
      <c r="P6" s="65"/>
      <c r="Q6" s="65"/>
      <c r="R6" s="65"/>
      <c r="S6" s="65"/>
      <c r="T6" s="65"/>
      <c r="U6" s="65"/>
      <c r="V6" s="65">
        <v>5</v>
      </c>
      <c r="W6" s="65">
        <v>4.5</v>
      </c>
      <c r="X6" s="65"/>
      <c r="Y6" s="65">
        <v>20</v>
      </c>
      <c r="Z6" s="65"/>
      <c r="AA6" s="65">
        <v>3</v>
      </c>
      <c r="AB6" s="65"/>
      <c r="AC6" s="65"/>
    </row>
    <row r="7" spans="1:29" x14ac:dyDescent="0.2">
      <c r="A7" s="65" t="s">
        <v>349</v>
      </c>
      <c r="B7" s="65" t="s">
        <v>350</v>
      </c>
      <c r="C7" s="65"/>
      <c r="D7" s="65" t="s">
        <v>346</v>
      </c>
      <c r="E7" s="65" t="s">
        <v>347</v>
      </c>
      <c r="F7" s="65">
        <v>2010</v>
      </c>
      <c r="G7" s="65" t="s">
        <v>348</v>
      </c>
      <c r="H7" s="65"/>
      <c r="I7" s="65"/>
      <c r="J7" s="65">
        <v>2013</v>
      </c>
      <c r="K7" s="65">
        <v>1700</v>
      </c>
      <c r="L7" s="65">
        <v>1300</v>
      </c>
      <c r="M7" s="65">
        <v>2000</v>
      </c>
      <c r="N7" s="65"/>
      <c r="O7" s="65"/>
      <c r="P7" s="65"/>
      <c r="Q7" s="65"/>
      <c r="R7" s="65"/>
      <c r="S7" s="65"/>
      <c r="T7" s="65"/>
      <c r="U7" s="65"/>
      <c r="V7" s="65">
        <v>25</v>
      </c>
      <c r="W7" s="65">
        <v>3.5</v>
      </c>
      <c r="X7" s="65">
        <v>10</v>
      </c>
      <c r="Y7" s="65">
        <v>20</v>
      </c>
      <c r="Z7" s="65"/>
      <c r="AA7" s="65">
        <v>2</v>
      </c>
      <c r="AB7" s="65"/>
      <c r="AC7" s="65"/>
    </row>
    <row r="8" spans="1:29" x14ac:dyDescent="0.2">
      <c r="A8" s="65" t="s">
        <v>349</v>
      </c>
      <c r="B8" s="65" t="s">
        <v>350</v>
      </c>
      <c r="C8" s="65"/>
      <c r="D8" s="65" t="s">
        <v>346</v>
      </c>
      <c r="E8" s="65" t="s">
        <v>347</v>
      </c>
      <c r="F8" s="65">
        <v>2020</v>
      </c>
      <c r="G8" s="65" t="s">
        <v>348</v>
      </c>
      <c r="H8" s="65"/>
      <c r="I8" s="65"/>
      <c r="J8" s="65">
        <v>2013</v>
      </c>
      <c r="K8" s="65">
        <v>1649</v>
      </c>
      <c r="L8" s="65">
        <v>1261</v>
      </c>
      <c r="M8" s="65">
        <v>1940</v>
      </c>
      <c r="N8" s="65"/>
      <c r="O8" s="65"/>
      <c r="P8" s="65"/>
      <c r="Q8" s="65"/>
      <c r="R8" s="65"/>
      <c r="S8" s="65"/>
      <c r="T8" s="65"/>
      <c r="U8" s="65"/>
      <c r="V8" s="65">
        <v>5</v>
      </c>
      <c r="W8" s="65">
        <v>3.7</v>
      </c>
      <c r="X8" s="65"/>
      <c r="Y8" s="65">
        <v>20</v>
      </c>
      <c r="Z8" s="65"/>
      <c r="AA8" s="65">
        <v>2</v>
      </c>
      <c r="AB8" s="65"/>
      <c r="AC8" s="65"/>
    </row>
    <row r="9" spans="1:29" x14ac:dyDescent="0.2">
      <c r="A9" s="65" t="s">
        <v>349</v>
      </c>
      <c r="B9" s="65" t="s">
        <v>350</v>
      </c>
      <c r="C9" s="65"/>
      <c r="D9" s="65" t="s">
        <v>346</v>
      </c>
      <c r="E9" s="65" t="s">
        <v>347</v>
      </c>
      <c r="F9" s="65">
        <v>2030</v>
      </c>
      <c r="G9" s="65" t="s">
        <v>348</v>
      </c>
      <c r="H9" s="65"/>
      <c r="I9" s="65"/>
      <c r="J9" s="65">
        <v>2013</v>
      </c>
      <c r="K9" s="65">
        <v>1552</v>
      </c>
      <c r="L9" s="65">
        <v>1186.9000000000001</v>
      </c>
      <c r="M9" s="65">
        <v>1826</v>
      </c>
      <c r="N9" s="65"/>
      <c r="O9" s="65"/>
      <c r="P9" s="65"/>
      <c r="Q9" s="65"/>
      <c r="R9" s="65"/>
      <c r="S9" s="65"/>
      <c r="T9" s="65"/>
      <c r="U9" s="65"/>
      <c r="V9" s="65">
        <v>5</v>
      </c>
      <c r="W9" s="65">
        <v>3.8</v>
      </c>
      <c r="X9" s="65"/>
      <c r="Y9" s="65">
        <v>20</v>
      </c>
      <c r="Z9" s="65"/>
      <c r="AA9" s="65">
        <v>1</v>
      </c>
      <c r="AB9" s="65"/>
      <c r="AC9" s="65"/>
    </row>
    <row r="10" spans="1:29" x14ac:dyDescent="0.2">
      <c r="A10" s="65" t="s">
        <v>349</v>
      </c>
      <c r="B10" s="65" t="s">
        <v>350</v>
      </c>
      <c r="C10" s="65"/>
      <c r="D10" s="65" t="s">
        <v>346</v>
      </c>
      <c r="E10" s="65" t="s">
        <v>347</v>
      </c>
      <c r="F10" s="65">
        <v>2040</v>
      </c>
      <c r="G10" s="65" t="s">
        <v>348</v>
      </c>
      <c r="H10" s="65"/>
      <c r="I10" s="65"/>
      <c r="J10" s="65">
        <v>2013</v>
      </c>
      <c r="K10" s="65">
        <v>1460</v>
      </c>
      <c r="L10" s="65">
        <v>1116.7</v>
      </c>
      <c r="M10" s="65">
        <v>1718</v>
      </c>
      <c r="N10" s="65"/>
      <c r="O10" s="65"/>
      <c r="P10" s="65"/>
      <c r="Q10" s="65"/>
      <c r="R10" s="65"/>
      <c r="S10" s="65"/>
      <c r="T10" s="65"/>
      <c r="U10" s="65"/>
      <c r="V10" s="65">
        <v>5</v>
      </c>
      <c r="W10" s="65">
        <v>3.9</v>
      </c>
      <c r="X10" s="65"/>
      <c r="Y10" s="65">
        <v>20</v>
      </c>
      <c r="Z10" s="65"/>
      <c r="AA10" s="65">
        <v>1</v>
      </c>
      <c r="AB10" s="65"/>
      <c r="AC10" s="65"/>
    </row>
    <row r="11" spans="1:29" x14ac:dyDescent="0.2">
      <c r="A11" s="65" t="s">
        <v>349</v>
      </c>
      <c r="B11" s="65" t="s">
        <v>350</v>
      </c>
      <c r="C11" s="65"/>
      <c r="D11" s="65" t="s">
        <v>346</v>
      </c>
      <c r="E11" s="65" t="s">
        <v>347</v>
      </c>
      <c r="F11" s="65">
        <v>2050</v>
      </c>
      <c r="G11" s="65" t="s">
        <v>348</v>
      </c>
      <c r="H11" s="65"/>
      <c r="I11" s="65"/>
      <c r="J11" s="65">
        <v>2013</v>
      </c>
      <c r="K11" s="65">
        <v>1374</v>
      </c>
      <c r="L11" s="65">
        <v>1050.4000000000001</v>
      </c>
      <c r="M11" s="65">
        <v>1616</v>
      </c>
      <c r="N11" s="65"/>
      <c r="O11" s="65"/>
      <c r="P11" s="65"/>
      <c r="Q11" s="65"/>
      <c r="R11" s="65"/>
      <c r="S11" s="65"/>
      <c r="T11" s="65"/>
      <c r="U11" s="65"/>
      <c r="V11" s="65">
        <v>5</v>
      </c>
      <c r="W11" s="65">
        <v>4</v>
      </c>
      <c r="X11" s="65"/>
      <c r="Y11" s="65">
        <v>20</v>
      </c>
      <c r="Z11" s="65"/>
      <c r="AA11" s="65">
        <v>1</v>
      </c>
      <c r="AB11" s="65"/>
      <c r="AC11" s="65"/>
    </row>
    <row r="12" spans="1:29" x14ac:dyDescent="0.2">
      <c r="A12" s="65" t="s">
        <v>349</v>
      </c>
      <c r="B12" s="65" t="s">
        <v>351</v>
      </c>
      <c r="C12" s="65"/>
      <c r="D12" s="65" t="s">
        <v>346</v>
      </c>
      <c r="E12" s="65" t="s">
        <v>347</v>
      </c>
      <c r="F12" s="65">
        <v>2010</v>
      </c>
      <c r="G12" s="65" t="s">
        <v>348</v>
      </c>
      <c r="H12" s="65"/>
      <c r="I12" s="65"/>
      <c r="J12" s="65">
        <v>2013</v>
      </c>
      <c r="K12" s="65">
        <v>800</v>
      </c>
      <c r="L12" s="65">
        <v>500</v>
      </c>
      <c r="M12" s="65">
        <v>1100</v>
      </c>
      <c r="N12" s="65"/>
      <c r="O12" s="65"/>
      <c r="P12" s="65"/>
      <c r="Q12" s="65"/>
      <c r="R12" s="65"/>
      <c r="S12" s="65"/>
      <c r="T12" s="65"/>
      <c r="U12" s="65"/>
      <c r="V12" s="65">
        <v>25</v>
      </c>
      <c r="W12" s="65">
        <v>3</v>
      </c>
      <c r="X12" s="65">
        <v>10</v>
      </c>
      <c r="Y12" s="65">
        <v>20</v>
      </c>
      <c r="Z12" s="65"/>
      <c r="AA12" s="65">
        <v>2</v>
      </c>
      <c r="AB12" s="65"/>
      <c r="AC12" s="65"/>
    </row>
    <row r="13" spans="1:29" x14ac:dyDescent="0.2">
      <c r="A13" s="65" t="s">
        <v>349</v>
      </c>
      <c r="B13" s="65" t="s">
        <v>351</v>
      </c>
      <c r="C13" s="65"/>
      <c r="D13" s="65" t="s">
        <v>346</v>
      </c>
      <c r="E13" s="65" t="s">
        <v>347</v>
      </c>
      <c r="F13" s="65">
        <v>2020</v>
      </c>
      <c r="G13" s="65" t="s">
        <v>348</v>
      </c>
      <c r="H13" s="65"/>
      <c r="I13" s="65"/>
      <c r="J13" s="65">
        <v>2013</v>
      </c>
      <c r="K13" s="65">
        <v>776</v>
      </c>
      <c r="L13" s="65">
        <v>485</v>
      </c>
      <c r="M13" s="65">
        <v>1067</v>
      </c>
      <c r="N13" s="65"/>
      <c r="O13" s="65"/>
      <c r="P13" s="65"/>
      <c r="Q13" s="65"/>
      <c r="R13" s="65"/>
      <c r="S13" s="65"/>
      <c r="T13" s="65"/>
      <c r="U13" s="65"/>
      <c r="V13" s="65">
        <v>5</v>
      </c>
      <c r="W13" s="65">
        <v>3.2</v>
      </c>
      <c r="X13" s="65"/>
      <c r="Y13" s="65">
        <v>20</v>
      </c>
      <c r="Z13" s="65"/>
      <c r="AA13" s="65">
        <v>2</v>
      </c>
      <c r="AB13" s="65"/>
      <c r="AC13" s="65"/>
    </row>
    <row r="14" spans="1:29" x14ac:dyDescent="0.2">
      <c r="A14" s="65" t="s">
        <v>349</v>
      </c>
      <c r="B14" s="65" t="s">
        <v>351</v>
      </c>
      <c r="C14" s="65"/>
      <c r="D14" s="65" t="s">
        <v>346</v>
      </c>
      <c r="E14" s="65" t="s">
        <v>347</v>
      </c>
      <c r="F14" s="65">
        <v>2030</v>
      </c>
      <c r="G14" s="65" t="s">
        <v>348</v>
      </c>
      <c r="H14" s="65"/>
      <c r="I14" s="65"/>
      <c r="J14" s="65">
        <v>2013</v>
      </c>
      <c r="K14" s="65">
        <v>730</v>
      </c>
      <c r="L14" s="65">
        <v>456.5</v>
      </c>
      <c r="M14" s="65">
        <v>1004.3</v>
      </c>
      <c r="N14" s="65"/>
      <c r="O14" s="65"/>
      <c r="P14" s="65"/>
      <c r="Q14" s="65"/>
      <c r="R14" s="65"/>
      <c r="S14" s="65"/>
      <c r="T14" s="65"/>
      <c r="U14" s="65"/>
      <c r="V14" s="65">
        <v>5</v>
      </c>
      <c r="W14" s="65">
        <v>3.3</v>
      </c>
      <c r="X14" s="65"/>
      <c r="Y14" s="65">
        <v>20</v>
      </c>
      <c r="Z14" s="65"/>
      <c r="AA14" s="65">
        <v>1</v>
      </c>
      <c r="AB14" s="65"/>
      <c r="AC14" s="65"/>
    </row>
    <row r="15" spans="1:29" x14ac:dyDescent="0.2">
      <c r="A15" s="65" t="s">
        <v>349</v>
      </c>
      <c r="B15" s="65" t="s">
        <v>351</v>
      </c>
      <c r="C15" s="65"/>
      <c r="D15" s="65" t="s">
        <v>346</v>
      </c>
      <c r="E15" s="65" t="s">
        <v>347</v>
      </c>
      <c r="F15" s="65">
        <v>2040</v>
      </c>
      <c r="G15" s="65" t="s">
        <v>348</v>
      </c>
      <c r="H15" s="65"/>
      <c r="I15" s="65"/>
      <c r="J15" s="65">
        <v>2013</v>
      </c>
      <c r="K15" s="65">
        <v>687</v>
      </c>
      <c r="L15" s="65">
        <v>429.5</v>
      </c>
      <c r="M15" s="65">
        <v>944.9</v>
      </c>
      <c r="N15" s="65"/>
      <c r="O15" s="65"/>
      <c r="P15" s="65"/>
      <c r="Q15" s="65"/>
      <c r="R15" s="65"/>
      <c r="S15" s="65"/>
      <c r="T15" s="65"/>
      <c r="U15" s="65"/>
      <c r="V15" s="65">
        <v>5</v>
      </c>
      <c r="W15" s="65">
        <v>3.4</v>
      </c>
      <c r="X15" s="65"/>
      <c r="Y15" s="65">
        <v>20</v>
      </c>
      <c r="Z15" s="65"/>
      <c r="AA15" s="65">
        <v>1</v>
      </c>
      <c r="AB15" s="65"/>
      <c r="AC15" s="65"/>
    </row>
    <row r="16" spans="1:29" x14ac:dyDescent="0.2">
      <c r="A16" s="65" t="s">
        <v>349</v>
      </c>
      <c r="B16" s="65" t="s">
        <v>351</v>
      </c>
      <c r="C16" s="65"/>
      <c r="D16" s="65" t="s">
        <v>346</v>
      </c>
      <c r="E16" s="65" t="s">
        <v>347</v>
      </c>
      <c r="F16" s="65">
        <v>2050</v>
      </c>
      <c r="G16" s="65" t="s">
        <v>348</v>
      </c>
      <c r="H16" s="65"/>
      <c r="I16" s="65"/>
      <c r="J16" s="65">
        <v>2013</v>
      </c>
      <c r="K16" s="65">
        <v>646</v>
      </c>
      <c r="L16" s="65">
        <v>404</v>
      </c>
      <c r="M16" s="65">
        <v>888.8</v>
      </c>
      <c r="N16" s="65"/>
      <c r="O16" s="65"/>
      <c r="P16" s="65"/>
      <c r="Q16" s="65"/>
      <c r="R16" s="65"/>
      <c r="S16" s="65"/>
      <c r="T16" s="65"/>
      <c r="U16" s="65"/>
      <c r="V16" s="65">
        <v>5</v>
      </c>
      <c r="W16" s="65">
        <v>3.5</v>
      </c>
      <c r="X16" s="65"/>
      <c r="Y16" s="65">
        <v>20</v>
      </c>
      <c r="Z16" s="65"/>
      <c r="AA16" s="65">
        <v>1</v>
      </c>
      <c r="AB16" s="65"/>
      <c r="AC16" s="65"/>
    </row>
    <row r="17" spans="1:29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6"/>
      <c r="AB17" s="65"/>
      <c r="AC17" s="65"/>
    </row>
    <row r="18" spans="1:29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6"/>
      <c r="AB18" s="65"/>
      <c r="AC18" s="65"/>
    </row>
    <row r="19" spans="1:29" x14ac:dyDescent="0.2">
      <c r="A19" s="65" t="s">
        <v>354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6"/>
      <c r="AB19" s="65"/>
      <c r="AC19" s="65"/>
    </row>
    <row r="20" spans="1:29" x14ac:dyDescent="0.2">
      <c r="A20" s="65" t="s">
        <v>344</v>
      </c>
      <c r="B20" s="65" t="s">
        <v>352</v>
      </c>
      <c r="C20" s="65"/>
      <c r="D20" s="65" t="s">
        <v>346</v>
      </c>
      <c r="E20" s="65" t="s">
        <v>347</v>
      </c>
      <c r="F20" s="65">
        <v>2010</v>
      </c>
      <c r="G20" s="65" t="s">
        <v>348</v>
      </c>
      <c r="H20" s="65"/>
      <c r="I20" s="65"/>
      <c r="J20" s="65">
        <v>2013</v>
      </c>
      <c r="K20" s="65">
        <v>3500</v>
      </c>
      <c r="L20" s="65">
        <v>3000</v>
      </c>
      <c r="M20" s="65">
        <v>4000</v>
      </c>
      <c r="N20" s="65"/>
      <c r="O20" s="65"/>
      <c r="P20" s="65"/>
      <c r="Q20" s="65"/>
      <c r="R20" s="65"/>
      <c r="S20" s="65"/>
      <c r="T20" s="65"/>
      <c r="U20" s="65"/>
      <c r="V20" s="65">
        <v>25</v>
      </c>
      <c r="W20" s="65">
        <v>3.4</v>
      </c>
      <c r="X20" s="65">
        <v>40</v>
      </c>
      <c r="Y20" s="65">
        <v>20</v>
      </c>
      <c r="Z20" s="65"/>
      <c r="AA20" s="65">
        <v>2</v>
      </c>
      <c r="AB20" s="65"/>
      <c r="AC20" s="65"/>
    </row>
    <row r="21" spans="1:29" x14ac:dyDescent="0.2">
      <c r="A21" s="65" t="s">
        <v>344</v>
      </c>
      <c r="B21" s="65" t="s">
        <v>352</v>
      </c>
      <c r="C21" s="65"/>
      <c r="D21" s="65" t="s">
        <v>346</v>
      </c>
      <c r="E21" s="65" t="s">
        <v>347</v>
      </c>
      <c r="F21" s="65">
        <v>2020</v>
      </c>
      <c r="G21" s="65" t="s">
        <v>348</v>
      </c>
      <c r="H21" s="65"/>
      <c r="I21" s="65"/>
      <c r="J21" s="65">
        <v>2013</v>
      </c>
      <c r="K21" s="65">
        <v>3395</v>
      </c>
      <c r="L21" s="65">
        <v>2910</v>
      </c>
      <c r="M21" s="65">
        <v>3880</v>
      </c>
      <c r="N21" s="65"/>
      <c r="O21" s="65"/>
      <c r="P21" s="65"/>
      <c r="Q21" s="65"/>
      <c r="R21" s="65"/>
      <c r="S21" s="65"/>
      <c r="T21" s="65"/>
      <c r="U21" s="65"/>
      <c r="V21" s="65">
        <v>5</v>
      </c>
      <c r="W21" s="65">
        <v>3.6</v>
      </c>
      <c r="X21" s="65"/>
      <c r="Y21" s="65">
        <v>20</v>
      </c>
      <c r="Z21" s="65"/>
      <c r="AA21" s="65">
        <v>2</v>
      </c>
      <c r="AB21" s="65"/>
      <c r="AC21" s="65"/>
    </row>
    <row r="22" spans="1:29" x14ac:dyDescent="0.2">
      <c r="A22" s="65" t="s">
        <v>344</v>
      </c>
      <c r="B22" s="65" t="s">
        <v>352</v>
      </c>
      <c r="C22" s="65"/>
      <c r="D22" s="65" t="s">
        <v>346</v>
      </c>
      <c r="E22" s="65" t="s">
        <v>347</v>
      </c>
      <c r="F22" s="65">
        <v>2030</v>
      </c>
      <c r="G22" s="65" t="s">
        <v>348</v>
      </c>
      <c r="H22" s="65"/>
      <c r="I22" s="65"/>
      <c r="J22" s="65">
        <v>2013</v>
      </c>
      <c r="K22" s="65">
        <v>3196</v>
      </c>
      <c r="L22" s="65">
        <v>2739</v>
      </c>
      <c r="M22" s="65">
        <v>3652</v>
      </c>
      <c r="N22" s="65"/>
      <c r="O22" s="65"/>
      <c r="P22" s="65"/>
      <c r="Q22" s="65"/>
      <c r="R22" s="65"/>
      <c r="S22" s="65"/>
      <c r="T22" s="65"/>
      <c r="U22" s="65"/>
      <c r="V22" s="65">
        <v>5</v>
      </c>
      <c r="W22" s="65">
        <v>3.7</v>
      </c>
      <c r="X22" s="65"/>
      <c r="Y22" s="65">
        <v>20</v>
      </c>
      <c r="Z22" s="65"/>
      <c r="AA22" s="65">
        <v>1</v>
      </c>
      <c r="AB22" s="65"/>
      <c r="AC22" s="65"/>
    </row>
    <row r="23" spans="1:29" x14ac:dyDescent="0.2">
      <c r="A23" s="65" t="s">
        <v>344</v>
      </c>
      <c r="B23" s="65" t="s">
        <v>352</v>
      </c>
      <c r="C23" s="65"/>
      <c r="D23" s="65" t="s">
        <v>346</v>
      </c>
      <c r="E23" s="65" t="s">
        <v>347</v>
      </c>
      <c r="F23" s="65">
        <v>2040</v>
      </c>
      <c r="G23" s="65" t="s">
        <v>348</v>
      </c>
      <c r="H23" s="65"/>
      <c r="I23" s="65"/>
      <c r="J23" s="65">
        <v>2013</v>
      </c>
      <c r="K23" s="65">
        <v>3007</v>
      </c>
      <c r="L23" s="65">
        <v>2577</v>
      </c>
      <c r="M23" s="65">
        <v>3436</v>
      </c>
      <c r="N23" s="65"/>
      <c r="O23" s="65"/>
      <c r="P23" s="65"/>
      <c r="Q23" s="65"/>
      <c r="R23" s="65"/>
      <c r="S23" s="65"/>
      <c r="T23" s="65"/>
      <c r="U23" s="65"/>
      <c r="V23" s="65">
        <v>5</v>
      </c>
      <c r="W23" s="65">
        <v>3.8</v>
      </c>
      <c r="X23" s="65"/>
      <c r="Y23" s="65">
        <v>20</v>
      </c>
      <c r="Z23" s="65"/>
      <c r="AA23" s="65">
        <v>1</v>
      </c>
      <c r="AB23" s="65"/>
      <c r="AC23" s="65"/>
    </row>
    <row r="24" spans="1:29" x14ac:dyDescent="0.2">
      <c r="A24" s="65" t="s">
        <v>344</v>
      </c>
      <c r="B24" s="65" t="s">
        <v>352</v>
      </c>
      <c r="C24" s="65"/>
      <c r="D24" s="65" t="s">
        <v>346</v>
      </c>
      <c r="E24" s="65" t="s">
        <v>347</v>
      </c>
      <c r="F24" s="65">
        <v>2050</v>
      </c>
      <c r="G24" s="65" t="s">
        <v>348</v>
      </c>
      <c r="H24" s="65"/>
      <c r="I24" s="65"/>
      <c r="J24" s="65">
        <v>2013</v>
      </c>
      <c r="K24" s="65">
        <v>2828</v>
      </c>
      <c r="L24" s="65">
        <v>2424</v>
      </c>
      <c r="M24" s="65">
        <v>3232</v>
      </c>
      <c r="N24" s="65"/>
      <c r="O24" s="65"/>
      <c r="P24" s="65"/>
      <c r="Q24" s="65"/>
      <c r="R24" s="65"/>
      <c r="S24" s="65"/>
      <c r="T24" s="65"/>
      <c r="U24" s="65"/>
      <c r="V24" s="65">
        <v>5</v>
      </c>
      <c r="W24" s="65">
        <v>3.9</v>
      </c>
      <c r="X24" s="65"/>
      <c r="Y24" s="65">
        <v>20</v>
      </c>
      <c r="Z24" s="65"/>
      <c r="AA24" s="65">
        <v>1</v>
      </c>
      <c r="AB24" s="65"/>
      <c r="AC24" s="65"/>
    </row>
    <row r="25" spans="1:29" x14ac:dyDescent="0.2">
      <c r="A25" s="65" t="s">
        <v>344</v>
      </c>
      <c r="B25" s="65" t="s">
        <v>353</v>
      </c>
      <c r="C25" s="65"/>
      <c r="D25" s="65" t="s">
        <v>346</v>
      </c>
      <c r="E25" s="65" t="s">
        <v>347</v>
      </c>
      <c r="F25" s="65">
        <v>2010</v>
      </c>
      <c r="G25" s="65" t="s">
        <v>348</v>
      </c>
      <c r="H25" s="65"/>
      <c r="I25" s="65"/>
      <c r="J25" s="65">
        <v>2013</v>
      </c>
      <c r="K25" s="65">
        <v>2500</v>
      </c>
      <c r="L25" s="65">
        <v>2000</v>
      </c>
      <c r="M25" s="65">
        <v>3000</v>
      </c>
      <c r="N25" s="65"/>
      <c r="O25" s="65"/>
      <c r="P25" s="65"/>
      <c r="Q25" s="65"/>
      <c r="R25" s="65"/>
      <c r="S25" s="65"/>
      <c r="T25" s="65"/>
      <c r="U25" s="65"/>
      <c r="V25" s="65">
        <v>25</v>
      </c>
      <c r="W25" s="65">
        <v>2.9</v>
      </c>
      <c r="X25" s="65">
        <v>40</v>
      </c>
      <c r="Y25" s="65">
        <v>20</v>
      </c>
      <c r="Z25" s="65"/>
      <c r="AA25" s="51">
        <v>2</v>
      </c>
      <c r="AB25" s="65"/>
      <c r="AC25" s="65"/>
    </row>
    <row r="26" spans="1:29" x14ac:dyDescent="0.2">
      <c r="A26" s="65" t="s">
        <v>344</v>
      </c>
      <c r="B26" s="65" t="s">
        <v>353</v>
      </c>
      <c r="C26" s="65"/>
      <c r="D26" s="65" t="s">
        <v>346</v>
      </c>
      <c r="E26" s="65" t="s">
        <v>347</v>
      </c>
      <c r="F26" s="65">
        <v>2020</v>
      </c>
      <c r="G26" s="65" t="s">
        <v>348</v>
      </c>
      <c r="H26" s="65"/>
      <c r="I26" s="65"/>
      <c r="J26" s="65">
        <v>2013</v>
      </c>
      <c r="K26" s="65">
        <v>2425</v>
      </c>
      <c r="L26" s="65">
        <v>1940</v>
      </c>
      <c r="M26" s="65">
        <v>2910</v>
      </c>
      <c r="N26" s="65"/>
      <c r="O26" s="65"/>
      <c r="P26" s="65"/>
      <c r="Q26" s="65"/>
      <c r="R26" s="65"/>
      <c r="S26" s="65"/>
      <c r="T26" s="65"/>
      <c r="U26" s="65"/>
      <c r="V26" s="65">
        <v>5</v>
      </c>
      <c r="W26" s="65">
        <v>3.1</v>
      </c>
      <c r="X26" s="65"/>
      <c r="Y26" s="65">
        <v>20</v>
      </c>
      <c r="Z26" s="65"/>
      <c r="AA26" s="51">
        <v>2</v>
      </c>
      <c r="AB26" s="65"/>
      <c r="AC26" s="65"/>
    </row>
    <row r="27" spans="1:29" x14ac:dyDescent="0.2">
      <c r="A27" s="65" t="s">
        <v>344</v>
      </c>
      <c r="B27" s="65" t="s">
        <v>353</v>
      </c>
      <c r="C27" s="65"/>
      <c r="D27" s="65" t="s">
        <v>346</v>
      </c>
      <c r="E27" s="65" t="s">
        <v>347</v>
      </c>
      <c r="F27" s="65">
        <v>2030</v>
      </c>
      <c r="G27" s="65" t="s">
        <v>348</v>
      </c>
      <c r="H27" s="65"/>
      <c r="I27" s="65"/>
      <c r="J27" s="65">
        <v>2013</v>
      </c>
      <c r="K27" s="65">
        <v>2283</v>
      </c>
      <c r="L27" s="65">
        <v>1826</v>
      </c>
      <c r="M27" s="65">
        <v>2739</v>
      </c>
      <c r="N27" s="65"/>
      <c r="O27" s="65"/>
      <c r="P27" s="65"/>
      <c r="Q27" s="65"/>
      <c r="R27" s="65"/>
      <c r="S27" s="65"/>
      <c r="T27" s="65"/>
      <c r="U27" s="65"/>
      <c r="V27" s="65">
        <v>5</v>
      </c>
      <c r="W27" s="65">
        <v>3.2</v>
      </c>
      <c r="X27" s="65"/>
      <c r="Y27" s="65">
        <v>20</v>
      </c>
      <c r="Z27" s="65"/>
      <c r="AA27" s="51">
        <v>1</v>
      </c>
      <c r="AB27" s="65"/>
      <c r="AC27" s="65"/>
    </row>
    <row r="28" spans="1:29" x14ac:dyDescent="0.2">
      <c r="A28" s="65" t="s">
        <v>344</v>
      </c>
      <c r="B28" s="65" t="s">
        <v>353</v>
      </c>
      <c r="C28" s="65"/>
      <c r="D28" s="65" t="s">
        <v>346</v>
      </c>
      <c r="E28" s="65" t="s">
        <v>347</v>
      </c>
      <c r="F28" s="65">
        <v>2040</v>
      </c>
      <c r="G28" s="65" t="s">
        <v>348</v>
      </c>
      <c r="H28" s="65"/>
      <c r="I28" s="65"/>
      <c r="J28" s="65">
        <v>2013</v>
      </c>
      <c r="K28" s="65">
        <v>2148</v>
      </c>
      <c r="L28" s="65">
        <v>1718</v>
      </c>
      <c r="M28" s="65">
        <v>2577</v>
      </c>
      <c r="N28" s="65"/>
      <c r="O28" s="65"/>
      <c r="P28" s="65"/>
      <c r="Q28" s="65"/>
      <c r="R28" s="65"/>
      <c r="S28" s="65"/>
      <c r="T28" s="65"/>
      <c r="U28" s="65"/>
      <c r="V28" s="65">
        <v>5</v>
      </c>
      <c r="W28" s="65">
        <v>3.3</v>
      </c>
      <c r="X28" s="65"/>
      <c r="Y28" s="65">
        <v>20</v>
      </c>
      <c r="Z28" s="65"/>
      <c r="AA28" s="51">
        <v>1</v>
      </c>
      <c r="AB28" s="65"/>
      <c r="AC28" s="65"/>
    </row>
    <row r="29" spans="1:29" x14ac:dyDescent="0.2">
      <c r="A29" s="65" t="s">
        <v>344</v>
      </c>
      <c r="B29" s="65" t="s">
        <v>353</v>
      </c>
      <c r="C29" s="65"/>
      <c r="D29" s="65" t="s">
        <v>346</v>
      </c>
      <c r="E29" s="65" t="s">
        <v>347</v>
      </c>
      <c r="F29" s="65">
        <v>2050</v>
      </c>
      <c r="G29" s="65" t="s">
        <v>348</v>
      </c>
      <c r="H29" s="65"/>
      <c r="I29" s="65"/>
      <c r="J29" s="65">
        <v>2013</v>
      </c>
      <c r="K29" s="65">
        <v>2020</v>
      </c>
      <c r="L29" s="65">
        <v>1616</v>
      </c>
      <c r="M29" s="65">
        <v>2424</v>
      </c>
      <c r="N29" s="65"/>
      <c r="O29" s="65"/>
      <c r="P29" s="65"/>
      <c r="Q29" s="65"/>
      <c r="R29" s="65"/>
      <c r="S29" s="65"/>
      <c r="T29" s="65"/>
      <c r="U29" s="65"/>
      <c r="V29" s="65">
        <v>5</v>
      </c>
      <c r="W29" s="65">
        <v>3.4</v>
      </c>
      <c r="X29" s="65"/>
      <c r="Y29" s="65">
        <v>20</v>
      </c>
      <c r="Z29" s="65"/>
      <c r="AA29" s="51">
        <v>1</v>
      </c>
      <c r="AB29" s="65"/>
      <c r="AC29" s="65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69"/>
  <sheetViews>
    <sheetView tabSelected="1" zoomScaleNormal="100" workbookViewId="0">
      <selection activeCell="P26" sqref="P26"/>
    </sheetView>
  </sheetViews>
  <sheetFormatPr defaultRowHeight="12.75" x14ac:dyDescent="0.2"/>
  <cols>
    <col min="1" max="1" width="8.85546875" style="92" customWidth="1"/>
    <col min="2" max="2" width="11.85546875" bestFit="1" customWidth="1"/>
    <col min="3" max="3" width="20.140625" bestFit="1" customWidth="1"/>
    <col min="4" max="4" width="53.42578125" bestFit="1" customWidth="1"/>
    <col min="5" max="5" width="25.28515625" customWidth="1"/>
    <col min="6" max="6" width="12" bestFit="1" customWidth="1"/>
    <col min="10" max="10" width="11.5703125" bestFit="1" customWidth="1"/>
    <col min="11" max="11" width="12" bestFit="1" customWidth="1"/>
    <col min="12" max="12" width="28.7109375" bestFit="1" customWidth="1"/>
    <col min="13" max="13" width="5" bestFit="1" customWidth="1"/>
    <col min="14" max="15" width="4.5703125" bestFit="1" customWidth="1"/>
    <col min="16" max="16" width="7.28515625" bestFit="1" customWidth="1"/>
    <col min="18" max="18" width="12" bestFit="1" customWidth="1"/>
    <col min="19" max="19" width="10.7109375" bestFit="1" customWidth="1"/>
  </cols>
  <sheetData>
    <row r="1" spans="1:8" x14ac:dyDescent="0.2">
      <c r="A1" s="96"/>
      <c r="B1" s="6" t="s">
        <v>482</v>
      </c>
    </row>
    <row r="2" spans="1:8" x14ac:dyDescent="0.2">
      <c r="A2" s="96"/>
    </row>
    <row r="3" spans="1:8" x14ac:dyDescent="0.2">
      <c r="A3" s="97"/>
      <c r="B3" s="62" t="s">
        <v>11</v>
      </c>
      <c r="C3" s="61"/>
      <c r="D3" s="61"/>
      <c r="E3" s="61"/>
      <c r="F3" s="61"/>
      <c r="G3" s="61"/>
      <c r="H3" s="61"/>
    </row>
    <row r="4" spans="1:8" x14ac:dyDescent="0.2">
      <c r="A4" s="97"/>
      <c r="B4" s="63" t="s">
        <v>16</v>
      </c>
      <c r="C4" s="63" t="s">
        <v>17</v>
      </c>
      <c r="D4" s="63" t="s">
        <v>18</v>
      </c>
      <c r="E4" s="63" t="s">
        <v>13</v>
      </c>
      <c r="F4" s="63" t="s">
        <v>12</v>
      </c>
      <c r="G4" s="63" t="s">
        <v>14</v>
      </c>
      <c r="H4" s="63" t="s">
        <v>305</v>
      </c>
    </row>
    <row r="5" spans="1:8" ht="14.25" x14ac:dyDescent="0.2">
      <c r="A5" s="97"/>
      <c r="B5" s="99" t="str">
        <f>"\I:"&amp;"RHDH"</f>
        <v>\I:RHDH</v>
      </c>
      <c r="C5" s="135" t="s">
        <v>467</v>
      </c>
      <c r="D5" s="135"/>
      <c r="E5" s="135"/>
      <c r="F5" s="135"/>
      <c r="G5" s="135"/>
      <c r="H5" s="135"/>
    </row>
    <row r="6" spans="1:8" x14ac:dyDescent="0.2">
      <c r="A6" s="97"/>
      <c r="B6" s="61" t="s">
        <v>797</v>
      </c>
      <c r="C6" s="61" t="str">
        <f>RSD_RHDH!B6</f>
        <v>R_ES-SH-DH_BIO01</v>
      </c>
      <c r="D6" s="61" t="str">
        <f>'Generalized Data'!B31&amp;" - "&amp;$C$5</f>
        <v>Wood Fireplace - Detached</v>
      </c>
      <c r="E6" s="61" t="s">
        <v>30</v>
      </c>
      <c r="F6" s="61" t="s">
        <v>31</v>
      </c>
      <c r="G6" s="61"/>
      <c r="H6" s="64"/>
    </row>
    <row r="7" spans="1:8" x14ac:dyDescent="0.2">
      <c r="A7" s="97"/>
      <c r="B7" s="61" t="s">
        <v>797</v>
      </c>
      <c r="C7" s="61" t="str">
        <f>RSD_RHDH!B7</f>
        <v>R_ES-SH-DH_BIO02</v>
      </c>
      <c r="D7" s="61" t="str">
        <f>'Generalized Data'!B32&amp;" - "&amp;$C$5</f>
        <v>Biomass stove - Detached</v>
      </c>
      <c r="E7" s="61" t="s">
        <v>30</v>
      </c>
      <c r="F7" s="61" t="s">
        <v>31</v>
      </c>
      <c r="G7" s="61"/>
      <c r="H7" s="64"/>
    </row>
    <row r="8" spans="1:8" x14ac:dyDescent="0.2">
      <c r="A8" s="97"/>
      <c r="B8" s="61" t="s">
        <v>797</v>
      </c>
      <c r="C8" s="61" t="str">
        <f>RSD_RHDH!B8</f>
        <v>R_ES-SH-DH_BDL01</v>
      </c>
      <c r="D8" s="61" t="str">
        <f>'Generalized Data'!B33&amp;" - "&amp;$C$5</f>
        <v>Biodiesel Boiler.HeatHotwater - Detached</v>
      </c>
      <c r="E8" s="61" t="s">
        <v>30</v>
      </c>
      <c r="F8" s="61" t="s">
        <v>31</v>
      </c>
      <c r="G8" s="61"/>
      <c r="H8" s="64"/>
    </row>
    <row r="9" spans="1:8" x14ac:dyDescent="0.2">
      <c r="A9" s="97"/>
      <c r="B9" s="61" t="s">
        <v>797</v>
      </c>
      <c r="C9" s="61" t="str">
        <f>RSD_RHDH!B10</f>
        <v>R_ES-SH-DH_ELC01</v>
      </c>
      <c r="D9" s="61" t="str">
        <f>'Generalized Data'!B34&amp;" - "&amp;$C$5</f>
        <v>Electric radiators  - Detached</v>
      </c>
      <c r="E9" s="61" t="s">
        <v>30</v>
      </c>
      <c r="F9" s="61" t="s">
        <v>31</v>
      </c>
      <c r="G9" s="61"/>
      <c r="H9" s="64"/>
    </row>
    <row r="10" spans="1:8" x14ac:dyDescent="0.2">
      <c r="A10" s="97"/>
      <c r="B10" s="61" t="s">
        <v>797</v>
      </c>
      <c r="C10" s="61" t="str">
        <f>RSD_RHDH!B11</f>
        <v>R_ES-SH-DH_ELC02</v>
      </c>
      <c r="D10" s="61" t="str">
        <f>'Generalized Data'!B35&amp;" - "&amp;$C$5</f>
        <v>Air heat pump Electric - Detached</v>
      </c>
      <c r="E10" s="61" t="s">
        <v>30</v>
      </c>
      <c r="F10" s="61" t="s">
        <v>31</v>
      </c>
      <c r="G10" s="61"/>
      <c r="H10" s="64" t="s">
        <v>384</v>
      </c>
    </row>
    <row r="11" spans="1:8" x14ac:dyDescent="0.2">
      <c r="A11" s="97"/>
      <c r="B11" s="61" t="s">
        <v>797</v>
      </c>
      <c r="C11" s="61" t="str">
        <f>RSD_RHDH!B13</f>
        <v>R_ES-SH-DH_ELC03</v>
      </c>
      <c r="D11" s="61" t="str">
        <f>'Generalized Data'!B36&amp;" - "&amp;$C$5</f>
        <v>Air heat pump Electric HeatCool - Detached</v>
      </c>
      <c r="E11" s="61" t="s">
        <v>30</v>
      </c>
      <c r="F11" s="61" t="s">
        <v>31</v>
      </c>
      <c r="G11" s="61"/>
      <c r="H11" s="64" t="s">
        <v>384</v>
      </c>
    </row>
    <row r="12" spans="1:8" x14ac:dyDescent="0.2">
      <c r="A12" s="97"/>
      <c r="B12" s="61" t="s">
        <v>797</v>
      </c>
      <c r="C12" s="61" t="str">
        <f>RSD_RHDH!B16</f>
        <v>R_ES-SH-DH_ELC04</v>
      </c>
      <c r="D12" s="61" t="str">
        <f>'Generalized Data'!B37&amp;" - "&amp;$C$5</f>
        <v>Adv Air heat pump Electric HeatCool - Detached</v>
      </c>
      <c r="E12" s="61" t="s">
        <v>30</v>
      </c>
      <c r="F12" s="61" t="s">
        <v>31</v>
      </c>
      <c r="G12" s="61"/>
      <c r="H12" s="64" t="s">
        <v>384</v>
      </c>
    </row>
    <row r="13" spans="1:8" x14ac:dyDescent="0.2">
      <c r="A13" s="97"/>
      <c r="B13" s="61" t="s">
        <v>797</v>
      </c>
      <c r="C13" s="61" t="str">
        <f>RSD_RHDH!B19</f>
        <v>R_ES-SH-DH_ELC05</v>
      </c>
      <c r="D13" s="61" t="str">
        <f>'Generalized Data'!B38&amp;" - "&amp;$C$5</f>
        <v>Ground heat pump Hor Electric HeatCool - Detached</v>
      </c>
      <c r="E13" s="61" t="s">
        <v>30</v>
      </c>
      <c r="F13" s="61" t="s">
        <v>31</v>
      </c>
      <c r="G13" s="61"/>
      <c r="H13" s="64" t="s">
        <v>384</v>
      </c>
    </row>
    <row r="14" spans="1:8" x14ac:dyDescent="0.2">
      <c r="A14" s="97"/>
      <c r="B14" s="61" t="s">
        <v>797</v>
      </c>
      <c r="C14" s="61" t="str">
        <f>RSD_RHDH!B22</f>
        <v>R_ES-SH-DH_ELC06</v>
      </c>
      <c r="D14" s="61" t="str">
        <f>'Generalized Data'!B39&amp;" - "&amp;$C$5</f>
        <v>Ground heat pump Ver Electric HeatCool - Detached</v>
      </c>
      <c r="E14" s="61" t="s">
        <v>30</v>
      </c>
      <c r="F14" s="61" t="s">
        <v>31</v>
      </c>
      <c r="G14" s="61"/>
      <c r="H14" s="64" t="s">
        <v>384</v>
      </c>
    </row>
    <row r="15" spans="1:8" x14ac:dyDescent="0.2">
      <c r="A15" s="97"/>
      <c r="B15" s="61" t="s">
        <v>797</v>
      </c>
      <c r="C15" s="61" t="str">
        <f>RSD_RHDH!B25</f>
        <v>R_ES-SH-DH_ELC07</v>
      </c>
      <c r="D15" s="61" t="str">
        <f>'Generalized Data'!B40&amp;" - "&amp;$C$5</f>
        <v>Groundwater heat pump Electric Heat Cool - Detached</v>
      </c>
      <c r="E15" s="61" t="s">
        <v>30</v>
      </c>
      <c r="F15" s="61" t="s">
        <v>31</v>
      </c>
      <c r="G15" s="61"/>
      <c r="H15" s="64" t="s">
        <v>384</v>
      </c>
    </row>
    <row r="16" spans="1:8" x14ac:dyDescent="0.2">
      <c r="A16" s="97"/>
      <c r="B16" s="61" t="s">
        <v>797</v>
      </c>
      <c r="C16" s="61" t="str">
        <f>RSD_RHDH!B28</f>
        <v>R_ES-SH-DH_GAS01</v>
      </c>
      <c r="D16" s="61" t="str">
        <f>'Generalized Data'!B41&amp;" - "&amp;$C$5</f>
        <v>Natural gas stove  - Detached</v>
      </c>
      <c r="E16" s="61" t="s">
        <v>30</v>
      </c>
      <c r="F16" s="61" t="s">
        <v>31</v>
      </c>
      <c r="G16" s="61"/>
      <c r="H16" s="64"/>
    </row>
    <row r="17" spans="1:8" x14ac:dyDescent="0.2">
      <c r="A17" s="97"/>
      <c r="B17" s="61" t="s">
        <v>797</v>
      </c>
      <c r="C17" s="61" t="str">
        <f>RSD_RHDH!B29</f>
        <v>R_ES-SH-DH_GAS02</v>
      </c>
      <c r="D17" s="61" t="str">
        <f>'Generalized Data'!B42&amp;" - "&amp;$C$5</f>
        <v>Natural gas boiler  - Detached</v>
      </c>
      <c r="E17" s="61" t="s">
        <v>30</v>
      </c>
      <c r="F17" s="61" t="s">
        <v>31</v>
      </c>
      <c r="G17" s="61"/>
      <c r="H17" s="64"/>
    </row>
    <row r="18" spans="1:8" x14ac:dyDescent="0.2">
      <c r="A18" s="97"/>
      <c r="B18" s="61" t="s">
        <v>797</v>
      </c>
      <c r="C18" s="61" t="str">
        <f>RSD_RHDH!B30</f>
        <v>R_ES-SH-DH_GAS03</v>
      </c>
      <c r="D18" s="61" t="str">
        <f>'Generalized Data'!B43&amp;" - "&amp;$C$5</f>
        <v>Natural gas boiler.HeatHotwater  - Detached</v>
      </c>
      <c r="E18" s="61" t="s">
        <v>30</v>
      </c>
      <c r="F18" s="61" t="s">
        <v>31</v>
      </c>
      <c r="G18" s="61"/>
      <c r="H18" s="64"/>
    </row>
    <row r="19" spans="1:8" x14ac:dyDescent="0.2">
      <c r="A19" s="97"/>
      <c r="B19" s="61" t="s">
        <v>797</v>
      </c>
      <c r="C19" s="61" t="str">
        <f>RSD_RHDH!B32</f>
        <v>R_ES-SH-DH_GAS04</v>
      </c>
      <c r="D19" s="61" t="str">
        <f>'Generalized Data'!B44&amp;" - "&amp;$C$5</f>
        <v>Natural gas boiler condensing  - Detached</v>
      </c>
      <c r="E19" s="61" t="s">
        <v>30</v>
      </c>
      <c r="F19" s="61" t="s">
        <v>31</v>
      </c>
      <c r="G19" s="61"/>
      <c r="H19" s="64"/>
    </row>
    <row r="20" spans="1:8" x14ac:dyDescent="0.2">
      <c r="A20" s="97"/>
      <c r="B20" s="61" t="s">
        <v>797</v>
      </c>
      <c r="C20" s="61" t="str">
        <f>RSD_RHDH!B33</f>
        <v>R_ES-SH-DH_GAS05</v>
      </c>
      <c r="D20" s="61" t="str">
        <f>'Generalized Data'!B45&amp;" - "&amp;$C$5</f>
        <v>Natural gas boiler condensing.HeatHotwater  - Detached</v>
      </c>
      <c r="E20" s="61" t="s">
        <v>30</v>
      </c>
      <c r="F20" s="61" t="s">
        <v>31</v>
      </c>
      <c r="G20" s="61"/>
      <c r="H20" s="64"/>
    </row>
    <row r="21" spans="1:8" x14ac:dyDescent="0.2">
      <c r="A21" s="97"/>
      <c r="B21" s="61" t="s">
        <v>797</v>
      </c>
      <c r="C21" s="61" t="str">
        <f>RSD_RHDH!B35</f>
        <v>R_ES-SH-DH_GAS06</v>
      </c>
      <c r="D21" s="61" t="str">
        <f>'Generalized Data'!B46&amp;" - "&amp;$C$5</f>
        <v>Air heat pump with natural gas HeatCool - Detached</v>
      </c>
      <c r="E21" s="61" t="s">
        <v>30</v>
      </c>
      <c r="F21" s="61" t="s">
        <v>31</v>
      </c>
      <c r="G21" s="61"/>
      <c r="H21" s="64" t="s">
        <v>384</v>
      </c>
    </row>
    <row r="22" spans="1:8" x14ac:dyDescent="0.2">
      <c r="A22" s="97"/>
      <c r="B22" s="61" t="s">
        <v>797</v>
      </c>
      <c r="C22" s="61" t="str">
        <f>RSD_RHDH!B37</f>
        <v>R_ES-SH-DH_GAS07</v>
      </c>
      <c r="D22" s="61" t="str">
        <f>'Generalized Data'!B47&amp;" - "&amp;$C$5</f>
        <v>Groundwater heat pump with natural gas.HeatCool - Detached</v>
      </c>
      <c r="E22" s="61" t="s">
        <v>30</v>
      </c>
      <c r="F22" s="61" t="s">
        <v>31</v>
      </c>
      <c r="G22" s="61"/>
      <c r="H22" s="64" t="s">
        <v>384</v>
      </c>
    </row>
    <row r="23" spans="1:8" x14ac:dyDescent="0.2">
      <c r="A23" s="97"/>
      <c r="B23" s="61" t="s">
        <v>797</v>
      </c>
      <c r="C23" s="61" t="str">
        <f>RSD_RHDH!B39</f>
        <v>R_ES-SH-DH_HH201</v>
      </c>
      <c r="D23" s="61" t="str">
        <f>'Generalized Data'!B48&amp;" - "&amp;$C$5</f>
        <v>Hydrogen  burner - Detached</v>
      </c>
      <c r="E23" s="61" t="s">
        <v>30</v>
      </c>
      <c r="F23" s="61" t="s">
        <v>31</v>
      </c>
      <c r="G23" s="61"/>
      <c r="H23" s="64"/>
    </row>
    <row r="24" spans="1:8" x14ac:dyDescent="0.2">
      <c r="A24" s="97"/>
      <c r="B24" s="61" t="s">
        <v>797</v>
      </c>
      <c r="C24" s="61" t="str">
        <f>RSD_RHDH!B41</f>
        <v>R_ES-SH-DH_LPG01</v>
      </c>
      <c r="D24" s="61" t="str">
        <f>'Generalized Data'!B49&amp;" - "&amp;$C$5</f>
        <v>LPG stove - Detached</v>
      </c>
      <c r="E24" s="61" t="s">
        <v>30</v>
      </c>
      <c r="F24" s="61" t="s">
        <v>31</v>
      </c>
      <c r="G24" s="61"/>
      <c r="H24" s="64"/>
    </row>
    <row r="25" spans="1:8" x14ac:dyDescent="0.2">
      <c r="A25" s="97"/>
      <c r="B25" s="61" t="s">
        <v>797</v>
      </c>
      <c r="C25" s="61" t="str">
        <f>RSD_RHDH!B42</f>
        <v>R_ES-SH-DH_LPG02</v>
      </c>
      <c r="D25" s="61" t="str">
        <f>'Generalized Data'!B50&amp;" - "&amp;$C$5</f>
        <v>LPG boiler  - Detached</v>
      </c>
      <c r="E25" s="61" t="s">
        <v>30</v>
      </c>
      <c r="F25" s="61" t="s">
        <v>31</v>
      </c>
      <c r="G25" s="61"/>
      <c r="H25" s="64"/>
    </row>
    <row r="26" spans="1:8" x14ac:dyDescent="0.2">
      <c r="A26" s="97"/>
      <c r="B26" s="61" t="s">
        <v>797</v>
      </c>
      <c r="C26" s="61" t="str">
        <f>RSD_RHDH!B43</f>
        <v>R_ES-SH-DH_LPG03</v>
      </c>
      <c r="D26" s="61" t="str">
        <f>'Generalized Data'!B51&amp;" - "&amp;$C$5</f>
        <v>LPG boiler.HeatHotwater  - Detached</v>
      </c>
      <c r="E26" s="61" t="s">
        <v>30</v>
      </c>
      <c r="F26" s="61" t="s">
        <v>31</v>
      </c>
      <c r="G26" s="61"/>
      <c r="H26" s="64"/>
    </row>
    <row r="27" spans="1:8" x14ac:dyDescent="0.2">
      <c r="A27" s="97"/>
      <c r="B27" s="61" t="s">
        <v>797</v>
      </c>
      <c r="C27" s="61" t="str">
        <f>RSD_RHDH!B45</f>
        <v>R_ES-SH-DH_LPG04</v>
      </c>
      <c r="D27" s="61" t="str">
        <f>'Generalized Data'!B52&amp;" - "&amp;$C$5</f>
        <v>Air heat pump with LPG HeatCool - Detached</v>
      </c>
      <c r="E27" s="61" t="s">
        <v>30</v>
      </c>
      <c r="F27" s="61" t="s">
        <v>31</v>
      </c>
      <c r="G27" s="61"/>
      <c r="H27" s="64" t="s">
        <v>384</v>
      </c>
    </row>
    <row r="28" spans="1:8" x14ac:dyDescent="0.2">
      <c r="A28" s="97"/>
      <c r="B28" s="61" t="s">
        <v>797</v>
      </c>
      <c r="C28" s="61" t="str">
        <f>RSD_RHDH!B47</f>
        <v>R_ES-SH-DH_LPG05</v>
      </c>
      <c r="D28" s="61" t="str">
        <f>'Generalized Data'!B53&amp;" - "&amp;$C$5</f>
        <v>Groundwater heat pump with LPG HeatCool - Detached</v>
      </c>
      <c r="E28" s="61" t="s">
        <v>30</v>
      </c>
      <c r="F28" s="61" t="s">
        <v>31</v>
      </c>
      <c r="G28" s="61"/>
      <c r="H28" s="64" t="s">
        <v>384</v>
      </c>
    </row>
    <row r="29" spans="1:8" x14ac:dyDescent="0.2">
      <c r="A29" s="97"/>
      <c r="B29" s="61" t="s">
        <v>797</v>
      </c>
      <c r="C29" s="61" t="str">
        <f>RSD_RHDH!B49</f>
        <v>R_ES-SH-DH_HET01</v>
      </c>
      <c r="D29" s="61" t="str">
        <f>'Generalized Data'!B54&amp;" - "&amp;$C$5</f>
        <v>District heat exchanger.HeatHotwater  - Detached</v>
      </c>
      <c r="E29" s="61" t="s">
        <v>30</v>
      </c>
      <c r="F29" s="61" t="s">
        <v>31</v>
      </c>
      <c r="G29" s="61"/>
      <c r="H29" s="64"/>
    </row>
    <row r="30" spans="1:8" x14ac:dyDescent="0.2">
      <c r="A30" s="97"/>
      <c r="B30" s="61" t="s">
        <v>797</v>
      </c>
      <c r="C30" s="61" t="str">
        <f>RSD_RHDH!B51</f>
        <v>R_ES-SH-DH_OIL01</v>
      </c>
      <c r="D30" s="61" t="str">
        <f>'Generalized Data'!B55&amp;" - "&amp;$C$5</f>
        <v>Oil stove - Detached</v>
      </c>
      <c r="E30" s="61" t="s">
        <v>30</v>
      </c>
      <c r="F30" s="61" t="s">
        <v>31</v>
      </c>
      <c r="G30" s="61"/>
      <c r="H30" s="64"/>
    </row>
    <row r="31" spans="1:8" x14ac:dyDescent="0.2">
      <c r="A31" s="97"/>
      <c r="B31" s="61" t="s">
        <v>797</v>
      </c>
      <c r="C31" s="61" t="str">
        <f>RSD_RHDH!B52</f>
        <v>R_ES-SH-DH_OIL02</v>
      </c>
      <c r="D31" s="61" t="str">
        <f>'Generalized Data'!B56&amp;" - "&amp;$C$5</f>
        <v>Oil boiler  - Detached</v>
      </c>
      <c r="E31" s="61" t="s">
        <v>30</v>
      </c>
      <c r="F31" s="61" t="s">
        <v>31</v>
      </c>
      <c r="G31" s="61"/>
      <c r="H31" s="64"/>
    </row>
    <row r="32" spans="1:8" x14ac:dyDescent="0.2">
      <c r="A32" s="97"/>
      <c r="B32" s="61" t="s">
        <v>797</v>
      </c>
      <c r="C32" s="61" t="str">
        <f>RSD_RHDH!B53</f>
        <v>R_ES-SH-DH_OIL03</v>
      </c>
      <c r="D32" s="61" t="str">
        <f>'Generalized Data'!B57&amp;" - "&amp;$C$5</f>
        <v>Oil boiler.HeatHotwater  - Detached</v>
      </c>
      <c r="E32" s="61" t="s">
        <v>30</v>
      </c>
      <c r="F32" s="61" t="s">
        <v>31</v>
      </c>
      <c r="G32" s="61"/>
      <c r="H32" s="64"/>
    </row>
    <row r="33" spans="1:8" x14ac:dyDescent="0.2">
      <c r="A33" s="97"/>
      <c r="B33" s="61" t="s">
        <v>797</v>
      </c>
      <c r="C33" s="61" t="str">
        <f>RSD_RHDH!B55</f>
        <v>R_ES-SH-DH_OIL04</v>
      </c>
      <c r="D33" s="61" t="str">
        <f>'Generalized Data'!B58&amp;" - "&amp;$C$5</f>
        <v>Oil boiler condensing.HeatHotwater - Detached</v>
      </c>
      <c r="E33" s="61" t="s">
        <v>30</v>
      </c>
      <c r="F33" s="61" t="s">
        <v>31</v>
      </c>
      <c r="G33" s="61"/>
      <c r="H33" s="64"/>
    </row>
    <row r="34" spans="1:8" x14ac:dyDescent="0.2">
      <c r="A34" s="97"/>
      <c r="B34" s="61" t="s">
        <v>797</v>
      </c>
      <c r="C34" s="61" t="str">
        <f>RSD_RHDH!B57</f>
        <v>R_ES-SH-DH_ELC08</v>
      </c>
      <c r="D34" s="61" t="str">
        <f>'Generalized Data'!B59&amp;" - "&amp;$C$5</f>
        <v>Solar collector with electric backup.HeatHotwater  - Detached</v>
      </c>
      <c r="E34" s="61" t="s">
        <v>30</v>
      </c>
      <c r="F34" s="61" t="s">
        <v>31</v>
      </c>
      <c r="G34" s="61"/>
      <c r="H34" s="64"/>
    </row>
    <row r="35" spans="1:8" x14ac:dyDescent="0.2">
      <c r="A35" s="97"/>
      <c r="B35" s="61" t="s">
        <v>797</v>
      </c>
      <c r="C35" s="61" t="str">
        <f>RSD_RHDH!B59</f>
        <v>R_ES-SH-DH_OIL05</v>
      </c>
      <c r="D35" s="61" t="str">
        <f>'Generalized Data'!B60&amp;" - "&amp;$C$5</f>
        <v>Solar collector with diesel backup.HeatHotwater  - Detached</v>
      </c>
      <c r="E35" s="61" t="s">
        <v>30</v>
      </c>
      <c r="F35" s="61" t="s">
        <v>31</v>
      </c>
      <c r="G35" s="61"/>
      <c r="H35" s="64"/>
    </row>
    <row r="36" spans="1:8" x14ac:dyDescent="0.2">
      <c r="A36" s="97"/>
      <c r="B36" s="61" t="s">
        <v>797</v>
      </c>
      <c r="C36" s="61" t="str">
        <f>RSD_RHDH!B61</f>
        <v>R_ES-SH-DH_GAS08</v>
      </c>
      <c r="D36" s="61" t="str">
        <f>'Generalized Data'!B61&amp;" - "&amp;$C$5</f>
        <v>Solar collector with gas backup.HeatHotwater  - Detached</v>
      </c>
      <c r="E36" s="61" t="s">
        <v>30</v>
      </c>
      <c r="F36" s="61" t="s">
        <v>31</v>
      </c>
      <c r="G36" s="61"/>
      <c r="H36" s="64"/>
    </row>
    <row r="37" spans="1:8" x14ac:dyDescent="0.2">
      <c r="A37" s="97"/>
      <c r="B37" s="136" t="s">
        <v>797</v>
      </c>
      <c r="C37" s="136" t="str">
        <f>RSD_RHDH!B63</f>
        <v>R_ES-SH-DH_BIO03</v>
      </c>
      <c r="D37" s="136" t="str">
        <f>'Generalized Data'!B62&amp;" - "&amp;$C$5</f>
        <v>Wood-pellets boiler.HeatHotwater  - Detached</v>
      </c>
      <c r="E37" s="136" t="s">
        <v>30</v>
      </c>
      <c r="F37" s="136" t="s">
        <v>31</v>
      </c>
      <c r="G37" s="136"/>
      <c r="H37" s="104"/>
    </row>
    <row r="38" spans="1:8" x14ac:dyDescent="0.2">
      <c r="A38" s="97"/>
      <c r="B38" s="61" t="s">
        <v>439</v>
      </c>
      <c r="C38" s="61" t="str">
        <f>RSD_RHDH!B71</f>
        <v>R_ES-WH-DH_BIO01</v>
      </c>
      <c r="D38" s="137" t="str">
        <f>'Generalized Data'!B64&amp;" - "&amp;$C$5</f>
        <v>Wood pellets boiler water heater - Detached</v>
      </c>
      <c r="E38" s="61" t="s">
        <v>30</v>
      </c>
      <c r="F38" s="61" t="s">
        <v>31</v>
      </c>
      <c r="G38" s="61"/>
      <c r="H38" s="64"/>
    </row>
    <row r="39" spans="1:8" x14ac:dyDescent="0.2">
      <c r="A39" s="97"/>
      <c r="B39" s="61" t="s">
        <v>439</v>
      </c>
      <c r="C39" s="61" t="str">
        <f>RSD_RHDH!B72</f>
        <v>R_ES-WH-DH_ELC01</v>
      </c>
      <c r="D39" s="137" t="str">
        <f>'Generalized Data'!B65&amp;" - "&amp;$C$5</f>
        <v>Electric boiler water heater resistance - Detached</v>
      </c>
      <c r="E39" s="61" t="s">
        <v>30</v>
      </c>
      <c r="F39" s="61" t="s">
        <v>31</v>
      </c>
      <c r="G39" s="61"/>
      <c r="H39" s="64"/>
    </row>
    <row r="40" spans="1:8" x14ac:dyDescent="0.2">
      <c r="A40" s="97"/>
      <c r="B40" s="61" t="s">
        <v>439</v>
      </c>
      <c r="C40" s="61" t="str">
        <f>RSD_RHDH!B73</f>
        <v>R_ES-WH-DH_ELC02</v>
      </c>
      <c r="D40" s="137" t="str">
        <f>'Generalized Data'!B66&amp;" - "&amp;$C$5</f>
        <v>Electric heat pump water heater - Detached</v>
      </c>
      <c r="E40" s="61" t="s">
        <v>30</v>
      </c>
      <c r="F40" s="61" t="s">
        <v>31</v>
      </c>
      <c r="G40" s="61"/>
      <c r="H40" s="64"/>
    </row>
    <row r="41" spans="1:8" x14ac:dyDescent="0.2">
      <c r="A41" s="97"/>
      <c r="B41" s="61" t="s">
        <v>439</v>
      </c>
      <c r="C41" s="61" t="str">
        <f>RSD_RHDH!B75</f>
        <v>R_ES-WH-DH_GAS01</v>
      </c>
      <c r="D41" s="137" t="str">
        <f>'Generalized Data'!B67&amp;" - "&amp;$C$5</f>
        <v>Natural gas boiler water heater - Detached</v>
      </c>
      <c r="E41" s="61" t="s">
        <v>30</v>
      </c>
      <c r="F41" s="61" t="s">
        <v>31</v>
      </c>
      <c r="G41" s="61"/>
      <c r="H41" s="64"/>
    </row>
    <row r="42" spans="1:8" x14ac:dyDescent="0.2">
      <c r="A42" s="97"/>
      <c r="B42" s="61" t="s">
        <v>439</v>
      </c>
      <c r="C42" s="61" t="str">
        <f>RSD_RHDH!B76</f>
        <v>R_ES-WH-DH_GEO01</v>
      </c>
      <c r="D42" s="137" t="str">
        <f>'Generalized Data'!B68&amp;" - "&amp;$C$5</f>
        <v>Geo Heat Exchanger water heater - Detached</v>
      </c>
      <c r="E42" s="61" t="s">
        <v>30</v>
      </c>
      <c r="F42" s="61" t="s">
        <v>31</v>
      </c>
      <c r="G42" s="61"/>
      <c r="H42" s="64"/>
    </row>
    <row r="43" spans="1:8" x14ac:dyDescent="0.2">
      <c r="A43" s="97"/>
      <c r="B43" s="61" t="s">
        <v>439</v>
      </c>
      <c r="C43" s="61" t="str">
        <f>RSD_RHDH!B77</f>
        <v>R_ES-WH-DH_LPG01</v>
      </c>
      <c r="D43" s="137" t="str">
        <f>'Generalized Data'!B69&amp;" - "&amp;$C$5</f>
        <v>LPG boiler water heater - Detached</v>
      </c>
      <c r="E43" s="61" t="s">
        <v>30</v>
      </c>
      <c r="F43" s="61" t="s">
        <v>31</v>
      </c>
      <c r="G43" s="61"/>
      <c r="H43" s="64"/>
    </row>
    <row r="44" spans="1:8" x14ac:dyDescent="0.2">
      <c r="A44" s="97"/>
      <c r="B44" s="61" t="s">
        <v>439</v>
      </c>
      <c r="C44" s="61" t="str">
        <f>RSD_RHDH!B78</f>
        <v>R_ES-WH-DH_OIL01</v>
      </c>
      <c r="D44" s="137" t="str">
        <f>'Generalized Data'!B70&amp;" - "&amp;$C$5</f>
        <v>Oil boiler water heater - Detached</v>
      </c>
      <c r="E44" s="61" t="s">
        <v>30</v>
      </c>
      <c r="F44" s="61" t="s">
        <v>31</v>
      </c>
      <c r="G44" s="61"/>
      <c r="H44" s="64"/>
    </row>
    <row r="45" spans="1:8" x14ac:dyDescent="0.2">
      <c r="A45" s="97"/>
      <c r="B45" s="61" t="s">
        <v>439</v>
      </c>
      <c r="C45" s="61" t="str">
        <f>RSD_RHDH!B79</f>
        <v>R_ES-WH-DH_ELC03</v>
      </c>
      <c r="D45" s="137" t="str">
        <f>'Generalized Data'!B71&amp;" - "&amp;$C$5</f>
        <v>Solar water heater with electricity backup - Detached</v>
      </c>
      <c r="E45" s="61" t="s">
        <v>30</v>
      </c>
      <c r="F45" s="61" t="s">
        <v>31</v>
      </c>
      <c r="G45" s="61"/>
      <c r="H45" s="64"/>
    </row>
    <row r="46" spans="1:8" x14ac:dyDescent="0.2">
      <c r="A46" s="97"/>
      <c r="B46" s="61" t="s">
        <v>439</v>
      </c>
      <c r="C46" s="61" t="str">
        <f>RSD_RHDH!B81</f>
        <v>R_ES-WH-DH_OIL02</v>
      </c>
      <c r="D46" s="137" t="str">
        <f>'Generalized Data'!B72&amp;" - "&amp;$C$5</f>
        <v>Solar water heater with diesel backup - Detached</v>
      </c>
      <c r="E46" s="61" t="s">
        <v>30</v>
      </c>
      <c r="F46" s="61" t="s">
        <v>31</v>
      </c>
      <c r="G46" s="61"/>
      <c r="H46" s="64"/>
    </row>
    <row r="47" spans="1:8" x14ac:dyDescent="0.2">
      <c r="A47" s="97"/>
      <c r="B47" s="136" t="s">
        <v>439</v>
      </c>
      <c r="C47" s="136" t="str">
        <f>RSD_RHDH!B83</f>
        <v>R_ES-WH-DH_GAS02</v>
      </c>
      <c r="D47" s="136" t="str">
        <f>'Generalized Data'!B73&amp;" - "&amp;$C$5</f>
        <v>Solar water heater with gas backup - Detached</v>
      </c>
      <c r="E47" s="136" t="s">
        <v>30</v>
      </c>
      <c r="F47" s="136" t="s">
        <v>31</v>
      </c>
      <c r="G47" s="136"/>
      <c r="H47" s="104"/>
    </row>
    <row r="48" spans="1:8" x14ac:dyDescent="0.2">
      <c r="A48" s="97"/>
      <c r="B48" s="61" t="s">
        <v>439</v>
      </c>
      <c r="C48" s="61" t="str">
        <f>RSD_RHDH!B92</f>
        <v>R_ES-SC-DH_ELC01</v>
      </c>
      <c r="D48" s="137" t="str">
        <f>'Generalized Data'!B76&amp;" - "&amp;$C$5</f>
        <v>Room air-conditioner - Detached</v>
      </c>
      <c r="E48" s="61" t="s">
        <v>30</v>
      </c>
      <c r="F48" s="61" t="s">
        <v>31</v>
      </c>
      <c r="G48" s="61"/>
      <c r="H48" s="64"/>
    </row>
    <row r="49" spans="1:8" x14ac:dyDescent="0.2">
      <c r="A49" s="97"/>
      <c r="B49" s="61" t="s">
        <v>439</v>
      </c>
      <c r="C49" s="61" t="str">
        <f>RSD_RHDH!B93</f>
        <v>R_ES-SC-DH_ELC02</v>
      </c>
      <c r="D49" s="137" t="str">
        <f>'Generalized Data'!B77&amp;" - "&amp;$C$5</f>
        <v>Air fans - Detached</v>
      </c>
      <c r="E49" s="61" t="s">
        <v>30</v>
      </c>
      <c r="F49" s="61" t="s">
        <v>31</v>
      </c>
      <c r="G49" s="61"/>
      <c r="H49" s="64"/>
    </row>
    <row r="50" spans="1:8" x14ac:dyDescent="0.2">
      <c r="A50" s="97"/>
      <c r="B50" s="61" t="s">
        <v>439</v>
      </c>
      <c r="C50" s="61" t="str">
        <f>RSD_RHDH!B94</f>
        <v>R_ES-SC-DH_ELC03</v>
      </c>
      <c r="D50" s="137" t="str">
        <f>'Generalized Data'!B78&amp;" - "&amp;$C$5</f>
        <v>Roof-top central electric chiller - Detached</v>
      </c>
      <c r="E50" s="61" t="s">
        <v>30</v>
      </c>
      <c r="F50" s="61" t="s">
        <v>31</v>
      </c>
      <c r="G50" s="61"/>
      <c r="H50" s="64"/>
    </row>
    <row r="51" spans="1:8" x14ac:dyDescent="0.2">
      <c r="A51" s="97"/>
      <c r="B51" s="61" t="s">
        <v>439</v>
      </c>
      <c r="C51" s="61" t="str">
        <f>RSD_RHDH!B95</f>
        <v>R_ES-SC-DH_ELC04</v>
      </c>
      <c r="D51" s="137" t="str">
        <f>'Generalized Data'!B79&amp;" - "&amp;$C$5</f>
        <v>Centralized electrical air conditioner - Detached</v>
      </c>
      <c r="E51" s="61" t="s">
        <v>30</v>
      </c>
      <c r="F51" s="61" t="s">
        <v>31</v>
      </c>
      <c r="G51" s="61"/>
      <c r="H51" s="64"/>
    </row>
    <row r="52" spans="1:8" x14ac:dyDescent="0.2">
      <c r="A52" s="97"/>
      <c r="B52" s="61" t="s">
        <v>439</v>
      </c>
      <c r="C52" s="61" t="str">
        <f>RSD_RHDH!B96</f>
        <v>R_ES-SC-DH_ELC05</v>
      </c>
      <c r="D52" s="137" t="str">
        <f>'Generalized Data'!B80&amp;" - "&amp;$C$5</f>
        <v>Non-reversible electricity heat pump - Detached</v>
      </c>
      <c r="E52" s="61" t="s">
        <v>30</v>
      </c>
      <c r="F52" s="61" t="s">
        <v>31</v>
      </c>
      <c r="G52" s="61"/>
      <c r="H52" s="64"/>
    </row>
    <row r="53" spans="1:8" x14ac:dyDescent="0.2">
      <c r="A53" s="97"/>
      <c r="B53" s="61" t="s">
        <v>439</v>
      </c>
      <c r="C53" s="61" t="str">
        <f>RSD_RHDH!B97</f>
        <v>R_ES-SC-DH_GAS06</v>
      </c>
      <c r="D53" s="137" t="str">
        <f>'Generalized Data'!B81&amp;" - "&amp;$C$5</f>
        <v>Centralized gas air conditioner - Detached</v>
      </c>
      <c r="E53" s="61" t="s">
        <v>30</v>
      </c>
      <c r="F53" s="61" t="s">
        <v>31</v>
      </c>
      <c r="G53" s="61"/>
      <c r="H53" s="64"/>
    </row>
    <row r="54" spans="1:8" x14ac:dyDescent="0.2">
      <c r="A54" s="97"/>
      <c r="B54" s="61" t="s">
        <v>439</v>
      </c>
      <c r="C54" s="61" t="str">
        <f>RSD_RHDH!B98</f>
        <v>R_ES-SC-DH_GAS07</v>
      </c>
      <c r="D54" s="137" t="str">
        <f>'Generalized Data'!B82&amp;" - "&amp;$C$5</f>
        <v>Non reversible gas heat pump - Detached</v>
      </c>
      <c r="E54" s="61" t="s">
        <v>30</v>
      </c>
      <c r="F54" s="61" t="s">
        <v>31</v>
      </c>
      <c r="G54" s="61"/>
      <c r="H54" s="64"/>
    </row>
    <row r="55" spans="1:8" ht="13.5" thickBot="1" x14ac:dyDescent="0.25">
      <c r="A55" s="97"/>
      <c r="B55" s="138" t="s">
        <v>439</v>
      </c>
      <c r="C55" s="138" t="str">
        <f>RSD_RHDH!B99</f>
        <v>R_ES-SC-DH_ELC08</v>
      </c>
      <c r="D55" s="138" t="str">
        <f>'Generalized Data'!B83&amp;" - "&amp;$C$5</f>
        <v>Centralized solar air conditioner - Detached</v>
      </c>
      <c r="E55" s="138" t="s">
        <v>30</v>
      </c>
      <c r="F55" s="138" t="s">
        <v>31</v>
      </c>
      <c r="G55" s="138"/>
      <c r="H55" s="64"/>
    </row>
    <row r="56" spans="1:8" ht="14.25" x14ac:dyDescent="0.2">
      <c r="A56" s="97"/>
      <c r="B56" s="101" t="str">
        <f>"\I:"&amp;"RHFL"</f>
        <v>\I:RHFL</v>
      </c>
      <c r="C56" s="139" t="s">
        <v>468</v>
      </c>
      <c r="D56" s="139"/>
      <c r="E56" s="139"/>
      <c r="F56" s="139"/>
      <c r="G56" s="139"/>
      <c r="H56" s="139"/>
    </row>
    <row r="57" spans="1:8" x14ac:dyDescent="0.2">
      <c r="A57" s="97"/>
      <c r="B57" s="61" t="s">
        <v>797</v>
      </c>
      <c r="C57" s="140" t="str">
        <f>RSD_RHFL!B6</f>
        <v>R_ES-SH-FL_BIO01</v>
      </c>
      <c r="D57" s="140" t="str">
        <f>'Generalized Data'!B31&amp;" - "&amp;$C$56</f>
        <v>Wood Fireplace - Flat</v>
      </c>
      <c r="E57" s="140" t="s">
        <v>30</v>
      </c>
      <c r="F57" s="140" t="s">
        <v>31</v>
      </c>
      <c r="G57" s="140"/>
      <c r="H57" s="64"/>
    </row>
    <row r="58" spans="1:8" x14ac:dyDescent="0.2">
      <c r="A58" s="97"/>
      <c r="B58" s="61" t="s">
        <v>797</v>
      </c>
      <c r="C58" s="61" t="str">
        <f>RSD_RHFL!B7</f>
        <v>R_ES-SH-FL_BIO02</v>
      </c>
      <c r="D58" s="137" t="str">
        <f>'Generalized Data'!B32&amp;" - "&amp;$C$56</f>
        <v>Biomass stove - Flat</v>
      </c>
      <c r="E58" s="61" t="s">
        <v>30</v>
      </c>
      <c r="F58" s="61" t="s">
        <v>31</v>
      </c>
      <c r="G58" s="61"/>
      <c r="H58" s="64"/>
    </row>
    <row r="59" spans="1:8" x14ac:dyDescent="0.2">
      <c r="A59" s="97"/>
      <c r="B59" s="61" t="s">
        <v>797</v>
      </c>
      <c r="C59" s="61" t="str">
        <f>RSD_RHFL!B8</f>
        <v>R_ES-SH-FL_BDL01</v>
      </c>
      <c r="D59" s="137" t="str">
        <f>'Generalized Data'!B33&amp;" - "&amp;$C$56</f>
        <v>Biodiesel Boiler.HeatHotwater - Flat</v>
      </c>
      <c r="E59" s="61" t="s">
        <v>30</v>
      </c>
      <c r="F59" s="61" t="s">
        <v>31</v>
      </c>
      <c r="G59" s="61"/>
      <c r="H59" s="64"/>
    </row>
    <row r="60" spans="1:8" x14ac:dyDescent="0.2">
      <c r="A60" s="97"/>
      <c r="B60" s="61" t="s">
        <v>797</v>
      </c>
      <c r="C60" s="61" t="str">
        <f>RSD_RHFL!B10</f>
        <v>R_ES-SH-FL_ELC01</v>
      </c>
      <c r="D60" s="137" t="str">
        <f>'Generalized Data'!B34&amp;" - "&amp;$C$56</f>
        <v>Electric radiators  - Flat</v>
      </c>
      <c r="E60" s="61" t="s">
        <v>30</v>
      </c>
      <c r="F60" s="61" t="s">
        <v>31</v>
      </c>
      <c r="G60" s="61"/>
      <c r="H60" s="64"/>
    </row>
    <row r="61" spans="1:8" x14ac:dyDescent="0.2">
      <c r="A61" s="97"/>
      <c r="B61" s="61" t="s">
        <v>797</v>
      </c>
      <c r="C61" s="61" t="str">
        <f>RSD_RHFL!B11</f>
        <v>R_ES-SH-FL_ELC02</v>
      </c>
      <c r="D61" s="137" t="str">
        <f>'Generalized Data'!B35&amp;" - "&amp;$C$56</f>
        <v>Air heat pump Electric - Flat</v>
      </c>
      <c r="E61" s="61" t="s">
        <v>30</v>
      </c>
      <c r="F61" s="61" t="s">
        <v>31</v>
      </c>
      <c r="G61" s="61"/>
      <c r="H61" s="64" t="s">
        <v>384</v>
      </c>
    </row>
    <row r="62" spans="1:8" x14ac:dyDescent="0.2">
      <c r="A62" s="97"/>
      <c r="B62" s="61" t="s">
        <v>797</v>
      </c>
      <c r="C62" s="61" t="str">
        <f>RSD_RHFL!B13</f>
        <v>R_ES-SH-FL_ELC03</v>
      </c>
      <c r="D62" s="137" t="str">
        <f>'Generalized Data'!B36&amp;" - "&amp;$C$56</f>
        <v>Air heat pump Electric HeatCool - Flat</v>
      </c>
      <c r="E62" s="61" t="s">
        <v>30</v>
      </c>
      <c r="F62" s="61" t="s">
        <v>31</v>
      </c>
      <c r="G62" s="61"/>
      <c r="H62" s="64" t="s">
        <v>384</v>
      </c>
    </row>
    <row r="63" spans="1:8" x14ac:dyDescent="0.2">
      <c r="A63" s="97"/>
      <c r="B63" s="61" t="s">
        <v>797</v>
      </c>
      <c r="C63" s="61" t="str">
        <f>RSD_RHFL!B16</f>
        <v>R_ES-SH-FL_ELC04</v>
      </c>
      <c r="D63" s="137" t="str">
        <f>'Generalized Data'!B37&amp;" - "&amp;$C$56</f>
        <v>Adv Air heat pump Electric HeatCool - Flat</v>
      </c>
      <c r="E63" s="61" t="s">
        <v>30</v>
      </c>
      <c r="F63" s="61" t="s">
        <v>31</v>
      </c>
      <c r="G63" s="61"/>
      <c r="H63" s="64" t="s">
        <v>384</v>
      </c>
    </row>
    <row r="64" spans="1:8" x14ac:dyDescent="0.2">
      <c r="A64" s="97"/>
      <c r="B64" s="61" t="s">
        <v>797</v>
      </c>
      <c r="C64" s="61" t="str">
        <f>RSD_RHFL!B19</f>
        <v>R_ES-SH-FL_ELC05</v>
      </c>
      <c r="D64" s="137" t="str">
        <f>'Generalized Data'!B38&amp;" - "&amp;$C$56</f>
        <v>Ground heat pump Hor Electric HeatCool - Flat</v>
      </c>
      <c r="E64" s="61" t="s">
        <v>30</v>
      </c>
      <c r="F64" s="61" t="s">
        <v>31</v>
      </c>
      <c r="G64" s="61"/>
      <c r="H64" s="64" t="s">
        <v>384</v>
      </c>
    </row>
    <row r="65" spans="1:8" x14ac:dyDescent="0.2">
      <c r="A65" s="97"/>
      <c r="B65" s="61" t="s">
        <v>797</v>
      </c>
      <c r="C65" s="61" t="str">
        <f>RSD_RHFL!B22</f>
        <v>R_ES-SH-FL_ELC06</v>
      </c>
      <c r="D65" s="137" t="str">
        <f>'Generalized Data'!B39&amp;" - "&amp;$C$56</f>
        <v>Ground heat pump Ver Electric HeatCool - Flat</v>
      </c>
      <c r="E65" s="61" t="s">
        <v>30</v>
      </c>
      <c r="F65" s="61" t="s">
        <v>31</v>
      </c>
      <c r="G65" s="61"/>
      <c r="H65" s="64" t="s">
        <v>384</v>
      </c>
    </row>
    <row r="66" spans="1:8" x14ac:dyDescent="0.2">
      <c r="A66" s="97"/>
      <c r="B66" s="61" t="s">
        <v>797</v>
      </c>
      <c r="C66" s="61" t="str">
        <f>RSD_RHFL!B25</f>
        <v>R_ES-SH-FL_ELC07</v>
      </c>
      <c r="D66" s="137" t="str">
        <f>'Generalized Data'!B40&amp;" - "&amp;$C$56</f>
        <v>Groundwater heat pump Electric Heat Cool - Flat</v>
      </c>
      <c r="E66" s="61" t="s">
        <v>30</v>
      </c>
      <c r="F66" s="61" t="s">
        <v>31</v>
      </c>
      <c r="G66" s="61"/>
      <c r="H66" s="64" t="s">
        <v>384</v>
      </c>
    </row>
    <row r="67" spans="1:8" x14ac:dyDescent="0.2">
      <c r="A67" s="97"/>
      <c r="B67" s="61" t="s">
        <v>797</v>
      </c>
      <c r="C67" s="61" t="str">
        <f>RSD_RHFL!B28</f>
        <v>R_ES-SH-FL_GAS01</v>
      </c>
      <c r="D67" s="137" t="str">
        <f>'Generalized Data'!B41&amp;" - "&amp;$C$56</f>
        <v>Natural gas stove  - Flat</v>
      </c>
      <c r="E67" s="61" t="s">
        <v>30</v>
      </c>
      <c r="F67" s="61" t="s">
        <v>31</v>
      </c>
      <c r="G67" s="61"/>
      <c r="H67" s="64"/>
    </row>
    <row r="68" spans="1:8" x14ac:dyDescent="0.2">
      <c r="A68" s="97"/>
      <c r="B68" s="61" t="s">
        <v>797</v>
      </c>
      <c r="C68" s="61" t="str">
        <f>RSD_RHFL!B29</f>
        <v>R_ES-SH-FL_GAS02</v>
      </c>
      <c r="D68" s="137" t="str">
        <f>'Generalized Data'!B42&amp;" - "&amp;$C$56</f>
        <v>Natural gas boiler  - Flat</v>
      </c>
      <c r="E68" s="61" t="s">
        <v>30</v>
      </c>
      <c r="F68" s="61" t="s">
        <v>31</v>
      </c>
      <c r="G68" s="61"/>
      <c r="H68" s="64"/>
    </row>
    <row r="69" spans="1:8" x14ac:dyDescent="0.2">
      <c r="A69" s="97"/>
      <c r="B69" s="61" t="s">
        <v>797</v>
      </c>
      <c r="C69" s="61" t="str">
        <f>RSD_RHFL!B30</f>
        <v>R_ES-SH-FL_GAS03</v>
      </c>
      <c r="D69" s="137" t="str">
        <f>'Generalized Data'!B43&amp;" - "&amp;$C$56</f>
        <v>Natural gas boiler.HeatHotwater  - Flat</v>
      </c>
      <c r="E69" s="61" t="s">
        <v>30</v>
      </c>
      <c r="F69" s="61" t="s">
        <v>31</v>
      </c>
      <c r="G69" s="61"/>
      <c r="H69" s="64"/>
    </row>
    <row r="70" spans="1:8" x14ac:dyDescent="0.2">
      <c r="A70" s="97"/>
      <c r="B70" s="61" t="s">
        <v>797</v>
      </c>
      <c r="C70" s="61" t="str">
        <f>RSD_RHFL!B32</f>
        <v>R_ES-SH-FL_GAS04</v>
      </c>
      <c r="D70" s="137" t="str">
        <f>'Generalized Data'!B44&amp;" - "&amp;$C$56</f>
        <v>Natural gas boiler condensing  - Flat</v>
      </c>
      <c r="E70" s="61" t="s">
        <v>30</v>
      </c>
      <c r="F70" s="61" t="s">
        <v>31</v>
      </c>
      <c r="G70" s="61"/>
      <c r="H70" s="64"/>
    </row>
    <row r="71" spans="1:8" x14ac:dyDescent="0.2">
      <c r="A71" s="97"/>
      <c r="B71" s="61" t="s">
        <v>797</v>
      </c>
      <c r="C71" s="61" t="str">
        <f>RSD_RHFL!B33</f>
        <v>R_ES-SH-FL_GAS05</v>
      </c>
      <c r="D71" s="137" t="str">
        <f>'Generalized Data'!B45&amp;" - "&amp;$C$56</f>
        <v>Natural gas boiler condensing.HeatHotwater  - Flat</v>
      </c>
      <c r="E71" s="61" t="s">
        <v>30</v>
      </c>
      <c r="F71" s="61" t="s">
        <v>31</v>
      </c>
      <c r="G71" s="61"/>
      <c r="H71" s="64"/>
    </row>
    <row r="72" spans="1:8" x14ac:dyDescent="0.2">
      <c r="A72" s="97"/>
      <c r="B72" s="61" t="s">
        <v>797</v>
      </c>
      <c r="C72" s="61" t="str">
        <f>RSD_RHFL!B35</f>
        <v>R_ES-SH-FL_GAS06</v>
      </c>
      <c r="D72" s="137" t="str">
        <f>'Generalized Data'!B46&amp;" - "&amp;$C$56</f>
        <v>Air heat pump with natural gas HeatCool - Flat</v>
      </c>
      <c r="E72" s="61" t="s">
        <v>30</v>
      </c>
      <c r="F72" s="61" t="s">
        <v>31</v>
      </c>
      <c r="G72" s="61"/>
      <c r="H72" s="64" t="s">
        <v>384</v>
      </c>
    </row>
    <row r="73" spans="1:8" x14ac:dyDescent="0.2">
      <c r="A73" s="97"/>
      <c r="B73" s="61" t="s">
        <v>797</v>
      </c>
      <c r="C73" s="61" t="str">
        <f>RSD_RHFL!B37</f>
        <v>R_ES-SH-FL_GAS07</v>
      </c>
      <c r="D73" s="137" t="str">
        <f>'Generalized Data'!B47&amp;" - "&amp;$C$56</f>
        <v>Groundwater heat pump with natural gas.HeatCool - Flat</v>
      </c>
      <c r="E73" s="61" t="s">
        <v>30</v>
      </c>
      <c r="F73" s="61" t="s">
        <v>31</v>
      </c>
      <c r="G73" s="61"/>
      <c r="H73" s="64" t="s">
        <v>384</v>
      </c>
    </row>
    <row r="74" spans="1:8" x14ac:dyDescent="0.2">
      <c r="A74" s="97"/>
      <c r="B74" s="61" t="s">
        <v>797</v>
      </c>
      <c r="C74" s="61" t="str">
        <f>RSD_RHFL!B39</f>
        <v>R_ES-SH-FL_HH201</v>
      </c>
      <c r="D74" s="137" t="str">
        <f>'Generalized Data'!B48&amp;" - "&amp;$C$56</f>
        <v>Hydrogen  burner - Flat</v>
      </c>
      <c r="E74" s="61" t="s">
        <v>30</v>
      </c>
      <c r="F74" s="61" t="s">
        <v>31</v>
      </c>
      <c r="G74" s="61"/>
      <c r="H74" s="64"/>
    </row>
    <row r="75" spans="1:8" x14ac:dyDescent="0.2">
      <c r="A75" s="97"/>
      <c r="B75" s="61" t="s">
        <v>797</v>
      </c>
      <c r="C75" s="61" t="str">
        <f>RSD_RHFL!B41</f>
        <v>R_ES-SH-FL_LPG01</v>
      </c>
      <c r="D75" s="137" t="str">
        <f>'Generalized Data'!B49&amp;" - "&amp;$C$56</f>
        <v>LPG stove - Flat</v>
      </c>
      <c r="E75" s="61" t="s">
        <v>30</v>
      </c>
      <c r="F75" s="61" t="s">
        <v>31</v>
      </c>
      <c r="G75" s="61"/>
      <c r="H75" s="64"/>
    </row>
    <row r="76" spans="1:8" x14ac:dyDescent="0.2">
      <c r="A76" s="97"/>
      <c r="B76" s="61" t="s">
        <v>797</v>
      </c>
      <c r="C76" s="61" t="str">
        <f>RSD_RHFL!B42</f>
        <v>R_ES-SH-FL_LPG02</v>
      </c>
      <c r="D76" s="137" t="str">
        <f>'Generalized Data'!B50&amp;" - "&amp;$C$56</f>
        <v>LPG boiler  - Flat</v>
      </c>
      <c r="E76" s="61" t="s">
        <v>30</v>
      </c>
      <c r="F76" s="61" t="s">
        <v>31</v>
      </c>
      <c r="G76" s="61"/>
      <c r="H76" s="64"/>
    </row>
    <row r="77" spans="1:8" x14ac:dyDescent="0.2">
      <c r="A77" s="97"/>
      <c r="B77" s="61" t="s">
        <v>797</v>
      </c>
      <c r="C77" s="61" t="str">
        <f>RSD_RHFL!B43</f>
        <v>R_ES-SH-FL_LPG03</v>
      </c>
      <c r="D77" s="137" t="str">
        <f>'Generalized Data'!B51&amp;" - "&amp;$C$56</f>
        <v>LPG boiler.HeatHotwater  - Flat</v>
      </c>
      <c r="E77" s="61" t="s">
        <v>30</v>
      </c>
      <c r="F77" s="61" t="s">
        <v>31</v>
      </c>
      <c r="G77" s="61"/>
      <c r="H77" s="64"/>
    </row>
    <row r="78" spans="1:8" x14ac:dyDescent="0.2">
      <c r="A78" s="97"/>
      <c r="B78" s="61" t="s">
        <v>797</v>
      </c>
      <c r="C78" s="61" t="str">
        <f>RSD_RHFL!B45</f>
        <v>R_ES-SH-FL_LPG04</v>
      </c>
      <c r="D78" s="137" t="str">
        <f>'Generalized Data'!B52&amp;" - "&amp;$C$56</f>
        <v>Air heat pump with LPG HeatCool - Flat</v>
      </c>
      <c r="E78" s="61" t="s">
        <v>30</v>
      </c>
      <c r="F78" s="61" t="s">
        <v>31</v>
      </c>
      <c r="G78" s="61"/>
      <c r="H78" s="64" t="s">
        <v>384</v>
      </c>
    </row>
    <row r="79" spans="1:8" x14ac:dyDescent="0.2">
      <c r="A79" s="97"/>
      <c r="B79" s="61" t="s">
        <v>797</v>
      </c>
      <c r="C79" s="61" t="str">
        <f>RSD_RHFL!B47</f>
        <v>R_ES-SH-FL_LPG05</v>
      </c>
      <c r="D79" s="137" t="str">
        <f>'Generalized Data'!B53&amp;" - "&amp;$C$56</f>
        <v>Groundwater heat pump with LPG HeatCool - Flat</v>
      </c>
      <c r="E79" s="61" t="s">
        <v>30</v>
      </c>
      <c r="F79" s="61" t="s">
        <v>31</v>
      </c>
      <c r="G79" s="61"/>
      <c r="H79" s="64" t="s">
        <v>384</v>
      </c>
    </row>
    <row r="80" spans="1:8" x14ac:dyDescent="0.2">
      <c r="A80" s="97"/>
      <c r="B80" s="61" t="s">
        <v>797</v>
      </c>
      <c r="C80" s="61" t="str">
        <f>RSD_RHFL!B49</f>
        <v>R_ES-SH-FL_HET01</v>
      </c>
      <c r="D80" s="137" t="str">
        <f>'Generalized Data'!B54&amp;" - "&amp;$C$56</f>
        <v>District heat exchanger.HeatHotwater  - Flat</v>
      </c>
      <c r="E80" s="61" t="s">
        <v>30</v>
      </c>
      <c r="F80" s="61" t="s">
        <v>31</v>
      </c>
      <c r="G80" s="61"/>
      <c r="H80" s="64"/>
    </row>
    <row r="81" spans="1:8" x14ac:dyDescent="0.2">
      <c r="A81" s="97"/>
      <c r="B81" s="61" t="s">
        <v>797</v>
      </c>
      <c r="C81" s="61" t="str">
        <f>RSD_RHFL!B51</f>
        <v>R_ES-SH-FL_OIL01</v>
      </c>
      <c r="D81" s="137" t="str">
        <f>'Generalized Data'!B55&amp;" - "&amp;$C$56</f>
        <v>Oil stove - Flat</v>
      </c>
      <c r="E81" s="61" t="s">
        <v>30</v>
      </c>
      <c r="F81" s="61" t="s">
        <v>31</v>
      </c>
      <c r="G81" s="61"/>
      <c r="H81" s="64"/>
    </row>
    <row r="82" spans="1:8" x14ac:dyDescent="0.2">
      <c r="A82" s="97"/>
      <c r="B82" s="61" t="s">
        <v>797</v>
      </c>
      <c r="C82" s="61" t="str">
        <f>RSD_RHFL!B52</f>
        <v>R_ES-SH-FL_OIL02</v>
      </c>
      <c r="D82" s="137" t="str">
        <f>'Generalized Data'!B56&amp;" - "&amp;$C$56</f>
        <v>Oil boiler  - Flat</v>
      </c>
      <c r="E82" s="61" t="s">
        <v>30</v>
      </c>
      <c r="F82" s="61" t="s">
        <v>31</v>
      </c>
      <c r="G82" s="61"/>
      <c r="H82" s="64"/>
    </row>
    <row r="83" spans="1:8" x14ac:dyDescent="0.2">
      <c r="A83" s="97"/>
      <c r="B83" s="61" t="s">
        <v>797</v>
      </c>
      <c r="C83" s="61" t="str">
        <f>RSD_RHFL!B53</f>
        <v>R_ES-SH-FL_OIL03</v>
      </c>
      <c r="D83" s="137" t="str">
        <f>'Generalized Data'!B57&amp;" - "&amp;$C$56</f>
        <v>Oil boiler.HeatHotwater  - Flat</v>
      </c>
      <c r="E83" s="61" t="s">
        <v>30</v>
      </c>
      <c r="F83" s="61" t="s">
        <v>31</v>
      </c>
      <c r="G83" s="61"/>
      <c r="H83" s="64"/>
    </row>
    <row r="84" spans="1:8" x14ac:dyDescent="0.2">
      <c r="A84" s="97"/>
      <c r="B84" s="61" t="s">
        <v>797</v>
      </c>
      <c r="C84" s="61" t="str">
        <f>RSD_RHFL!B55</f>
        <v>R_ES-SH-FL_OIL04</v>
      </c>
      <c r="D84" s="137" t="str">
        <f>'Generalized Data'!B58&amp;" - "&amp;$C$56</f>
        <v>Oil boiler condensing.HeatHotwater - Flat</v>
      </c>
      <c r="E84" s="61" t="s">
        <v>30</v>
      </c>
      <c r="F84" s="61" t="s">
        <v>31</v>
      </c>
      <c r="G84" s="61"/>
      <c r="H84" s="64"/>
    </row>
    <row r="85" spans="1:8" x14ac:dyDescent="0.2">
      <c r="A85" s="97"/>
      <c r="B85" s="61" t="s">
        <v>797</v>
      </c>
      <c r="C85" s="61" t="str">
        <f>RSD_RHFL!B57</f>
        <v>R_ES-SH-FL_ELC08</v>
      </c>
      <c r="D85" s="137" t="str">
        <f>'Generalized Data'!B59&amp;" - "&amp;$C$56</f>
        <v>Solar collector with electric backup.HeatHotwater  - Flat</v>
      </c>
      <c r="E85" s="61" t="s">
        <v>30</v>
      </c>
      <c r="F85" s="61" t="s">
        <v>31</v>
      </c>
      <c r="G85" s="61"/>
      <c r="H85" s="64"/>
    </row>
    <row r="86" spans="1:8" x14ac:dyDescent="0.2">
      <c r="A86" s="97"/>
      <c r="B86" s="61" t="s">
        <v>797</v>
      </c>
      <c r="C86" s="61" t="str">
        <f>RSD_RHFL!B59</f>
        <v>R_ES-SH-FL_OIL05</v>
      </c>
      <c r="D86" s="137" t="str">
        <f>'Generalized Data'!B60&amp;" - "&amp;$C$56</f>
        <v>Solar collector with diesel backup.HeatHotwater  - Flat</v>
      </c>
      <c r="E86" s="61" t="s">
        <v>30</v>
      </c>
      <c r="F86" s="61" t="s">
        <v>31</v>
      </c>
      <c r="G86" s="61"/>
      <c r="H86" s="64"/>
    </row>
    <row r="87" spans="1:8" x14ac:dyDescent="0.2">
      <c r="A87" s="97"/>
      <c r="B87" s="61" t="s">
        <v>797</v>
      </c>
      <c r="C87" s="61" t="str">
        <f>RSD_RHFL!B61</f>
        <v>R_ES-SH-FL_GAS08</v>
      </c>
      <c r="D87" s="137" t="str">
        <f>'Generalized Data'!B61&amp;" - "&amp;$C$56</f>
        <v>Solar collector with gas backup.HeatHotwater  - Flat</v>
      </c>
      <c r="E87" s="61" t="s">
        <v>30</v>
      </c>
      <c r="F87" s="61" t="s">
        <v>31</v>
      </c>
      <c r="G87" s="61"/>
      <c r="H87" s="64"/>
    </row>
    <row r="88" spans="1:8" x14ac:dyDescent="0.2">
      <c r="A88" s="97"/>
      <c r="B88" s="136" t="s">
        <v>797</v>
      </c>
      <c r="C88" s="136" t="str">
        <f>RSD_RHFL!B63</f>
        <v>R_ES-SH-FL_BIO03</v>
      </c>
      <c r="D88" s="137" t="str">
        <f>'Generalized Data'!B62&amp;" - "&amp;$C$56</f>
        <v>Wood-pellets boiler.HeatHotwater  - Flat</v>
      </c>
      <c r="E88" s="136" t="s">
        <v>30</v>
      </c>
      <c r="F88" s="136" t="s">
        <v>31</v>
      </c>
      <c r="G88" s="136"/>
      <c r="H88" s="104"/>
    </row>
    <row r="89" spans="1:8" x14ac:dyDescent="0.2">
      <c r="A89" s="97"/>
      <c r="B89" s="61" t="s">
        <v>439</v>
      </c>
      <c r="C89" s="61" t="str">
        <f>RSD_RHFL!B71</f>
        <v>R_ES-WH-FL_BIO01</v>
      </c>
      <c r="D89" s="140" t="str">
        <f>'Generalized Data'!B64&amp;" - "&amp;$C$56</f>
        <v>Wood pellets boiler water heater - Flat</v>
      </c>
      <c r="E89" s="61" t="s">
        <v>30</v>
      </c>
      <c r="F89" s="61" t="s">
        <v>31</v>
      </c>
      <c r="G89" s="61"/>
      <c r="H89" s="64"/>
    </row>
    <row r="90" spans="1:8" x14ac:dyDescent="0.2">
      <c r="A90" s="97"/>
      <c r="B90" s="61" t="s">
        <v>439</v>
      </c>
      <c r="C90" s="61" t="str">
        <f>RSD_RHFL!B72</f>
        <v>R_ES-WH-FL_ELC01</v>
      </c>
      <c r="D90" s="137" t="str">
        <f>'Generalized Data'!B65&amp;" - "&amp;$C$56</f>
        <v>Electric boiler water heater resistance - Flat</v>
      </c>
      <c r="E90" s="61" t="s">
        <v>30</v>
      </c>
      <c r="F90" s="61" t="s">
        <v>31</v>
      </c>
      <c r="G90" s="61"/>
      <c r="H90" s="64"/>
    </row>
    <row r="91" spans="1:8" x14ac:dyDescent="0.2">
      <c r="A91" s="97"/>
      <c r="B91" s="61" t="s">
        <v>439</v>
      </c>
      <c r="C91" s="61" t="str">
        <f>RSD_RHFL!B73</f>
        <v>R_ES-WH-FL_ELC02</v>
      </c>
      <c r="D91" s="137" t="str">
        <f>'Generalized Data'!B66&amp;" - "&amp;$C$56</f>
        <v>Electric heat pump water heater - Flat</v>
      </c>
      <c r="E91" s="61" t="s">
        <v>30</v>
      </c>
      <c r="F91" s="61" t="s">
        <v>31</v>
      </c>
      <c r="G91" s="61"/>
      <c r="H91" s="64"/>
    </row>
    <row r="92" spans="1:8" x14ac:dyDescent="0.2">
      <c r="A92" s="97"/>
      <c r="B92" s="61" t="s">
        <v>439</v>
      </c>
      <c r="C92" s="61" t="str">
        <f>RSD_RHFL!B75</f>
        <v>R_ES-WH-FL_GAS01</v>
      </c>
      <c r="D92" s="137" t="str">
        <f>'Generalized Data'!B67&amp;" - "&amp;$C$56</f>
        <v>Natural gas boiler water heater - Flat</v>
      </c>
      <c r="E92" s="61" t="s">
        <v>30</v>
      </c>
      <c r="F92" s="61" t="s">
        <v>31</v>
      </c>
      <c r="G92" s="61"/>
      <c r="H92" s="64"/>
    </row>
    <row r="93" spans="1:8" x14ac:dyDescent="0.2">
      <c r="A93" s="97"/>
      <c r="B93" s="61" t="s">
        <v>439</v>
      </c>
      <c r="C93" s="61" t="str">
        <f>RSD_RHFL!B76</f>
        <v>R_ES-WH-FL_GEO01</v>
      </c>
      <c r="D93" s="137" t="str">
        <f>'Generalized Data'!B68&amp;" - "&amp;$C$56</f>
        <v>Geo Heat Exchanger water heater - Flat</v>
      </c>
      <c r="E93" s="61" t="s">
        <v>30</v>
      </c>
      <c r="F93" s="61" t="s">
        <v>31</v>
      </c>
      <c r="G93" s="61"/>
      <c r="H93" s="64"/>
    </row>
    <row r="94" spans="1:8" x14ac:dyDescent="0.2">
      <c r="A94" s="97"/>
      <c r="B94" s="61" t="s">
        <v>439</v>
      </c>
      <c r="C94" s="61" t="str">
        <f>RSD_RHFL!B77</f>
        <v>R_ES-WH-FL_LPG01</v>
      </c>
      <c r="D94" s="137" t="str">
        <f>'Generalized Data'!B69&amp;" - "&amp;$C$56</f>
        <v>LPG boiler water heater - Flat</v>
      </c>
      <c r="E94" s="61" t="s">
        <v>30</v>
      </c>
      <c r="F94" s="61" t="s">
        <v>31</v>
      </c>
      <c r="G94" s="61"/>
      <c r="H94" s="64"/>
    </row>
    <row r="95" spans="1:8" x14ac:dyDescent="0.2">
      <c r="A95" s="97"/>
      <c r="B95" s="61" t="s">
        <v>439</v>
      </c>
      <c r="C95" s="61" t="str">
        <f>RSD_RHFL!B78</f>
        <v>R_ES-WH-FL_OIL01</v>
      </c>
      <c r="D95" s="137" t="str">
        <f>'Generalized Data'!B70&amp;" - "&amp;$C$56</f>
        <v>Oil boiler water heater - Flat</v>
      </c>
      <c r="E95" s="61" t="s">
        <v>30</v>
      </c>
      <c r="F95" s="61" t="s">
        <v>31</v>
      </c>
      <c r="G95" s="61"/>
      <c r="H95" s="64"/>
    </row>
    <row r="96" spans="1:8" x14ac:dyDescent="0.2">
      <c r="A96" s="97"/>
      <c r="B96" s="61" t="s">
        <v>439</v>
      </c>
      <c r="C96" s="61" t="str">
        <f>RSD_RHFL!B79</f>
        <v>R_ES-WH-FL_ELC03</v>
      </c>
      <c r="D96" s="137" t="str">
        <f>'Generalized Data'!B71&amp;" - "&amp;$C$56</f>
        <v>Solar water heater with electricity backup - Flat</v>
      </c>
      <c r="E96" s="61" t="s">
        <v>30</v>
      </c>
      <c r="F96" s="61" t="s">
        <v>31</v>
      </c>
      <c r="G96" s="61"/>
      <c r="H96" s="64"/>
    </row>
    <row r="97" spans="1:8" x14ac:dyDescent="0.2">
      <c r="A97" s="97"/>
      <c r="B97" s="61" t="s">
        <v>439</v>
      </c>
      <c r="C97" s="61" t="str">
        <f>RSD_RHFL!B81</f>
        <v>R_ES-WH-FL_OIL02</v>
      </c>
      <c r="D97" s="137" t="str">
        <f>'Generalized Data'!B72&amp;" - "&amp;$C$56</f>
        <v>Solar water heater with diesel backup - Flat</v>
      </c>
      <c r="E97" s="61" t="s">
        <v>30</v>
      </c>
      <c r="F97" s="61" t="s">
        <v>31</v>
      </c>
      <c r="G97" s="61"/>
      <c r="H97" s="64"/>
    </row>
    <row r="98" spans="1:8" x14ac:dyDescent="0.2">
      <c r="A98" s="97"/>
      <c r="B98" s="136" t="s">
        <v>439</v>
      </c>
      <c r="C98" s="136" t="str">
        <f>RSD_RHFL!B83</f>
        <v>R_ES-WH-FL_GAS02</v>
      </c>
      <c r="D98" s="136" t="str">
        <f>'Generalized Data'!B73&amp;" - "&amp;$C$56</f>
        <v>Solar water heater with gas backup - Flat</v>
      </c>
      <c r="E98" s="136" t="s">
        <v>30</v>
      </c>
      <c r="F98" s="136" t="s">
        <v>31</v>
      </c>
      <c r="G98" s="136"/>
      <c r="H98" s="104"/>
    </row>
    <row r="99" spans="1:8" x14ac:dyDescent="0.2">
      <c r="A99" s="97"/>
      <c r="B99" s="61" t="s">
        <v>439</v>
      </c>
      <c r="C99" s="61" t="str">
        <f>RSD_RHFL!B92</f>
        <v>R_ES-SC-FL_ELC01</v>
      </c>
      <c r="D99" s="140" t="str">
        <f>'Generalized Data'!B76&amp;" - "&amp;$C$56</f>
        <v>Room air-conditioner - Flat</v>
      </c>
      <c r="E99" s="61" t="s">
        <v>30</v>
      </c>
      <c r="F99" s="61" t="s">
        <v>31</v>
      </c>
      <c r="G99" s="61"/>
      <c r="H99" s="64"/>
    </row>
    <row r="100" spans="1:8" x14ac:dyDescent="0.2">
      <c r="A100" s="97"/>
      <c r="B100" s="61" t="s">
        <v>439</v>
      </c>
      <c r="C100" s="61" t="str">
        <f>RSD_RHFL!B93</f>
        <v>R_ES-SC-FL_ELC02</v>
      </c>
      <c r="D100" s="137" t="str">
        <f>'Generalized Data'!B77&amp;" - "&amp;$C$56</f>
        <v>Air fans - Flat</v>
      </c>
      <c r="E100" s="61" t="s">
        <v>30</v>
      </c>
      <c r="F100" s="61" t="s">
        <v>31</v>
      </c>
      <c r="G100" s="61"/>
      <c r="H100" s="64"/>
    </row>
    <row r="101" spans="1:8" x14ac:dyDescent="0.2">
      <c r="A101" s="97"/>
      <c r="B101" s="61" t="s">
        <v>439</v>
      </c>
      <c r="C101" s="61" t="str">
        <f>RSD_RHFL!B94</f>
        <v>R_ES-SC-FL_ELC03</v>
      </c>
      <c r="D101" s="137" t="str">
        <f>'Generalized Data'!B78&amp;" - "&amp;$C$56</f>
        <v>Roof-top central electric chiller - Flat</v>
      </c>
      <c r="E101" s="61" t="s">
        <v>30</v>
      </c>
      <c r="F101" s="61" t="s">
        <v>31</v>
      </c>
      <c r="G101" s="61"/>
      <c r="H101" s="64"/>
    </row>
    <row r="102" spans="1:8" x14ac:dyDescent="0.2">
      <c r="A102" s="97"/>
      <c r="B102" s="61" t="s">
        <v>439</v>
      </c>
      <c r="C102" s="61" t="str">
        <f>RSD_RHFL!B95</f>
        <v>R_ES-SC-FL_ELC04</v>
      </c>
      <c r="D102" s="137" t="str">
        <f>'Generalized Data'!B79&amp;" - "&amp;$C$56</f>
        <v>Centralized electrical air conditioner - Flat</v>
      </c>
      <c r="E102" s="61" t="s">
        <v>30</v>
      </c>
      <c r="F102" s="61" t="s">
        <v>31</v>
      </c>
      <c r="G102" s="61"/>
      <c r="H102" s="64"/>
    </row>
    <row r="103" spans="1:8" x14ac:dyDescent="0.2">
      <c r="A103" s="97"/>
      <c r="B103" s="61" t="s">
        <v>439</v>
      </c>
      <c r="C103" s="61" t="str">
        <f>RSD_RHFL!B96</f>
        <v>R_ES-SC-FL_ELC05</v>
      </c>
      <c r="D103" s="137" t="str">
        <f>'Generalized Data'!B80&amp;" - "&amp;$C$56</f>
        <v>Non-reversible electricity heat pump - Flat</v>
      </c>
      <c r="E103" s="61" t="s">
        <v>30</v>
      </c>
      <c r="F103" s="61" t="s">
        <v>31</v>
      </c>
      <c r="G103" s="61"/>
      <c r="H103" s="64"/>
    </row>
    <row r="104" spans="1:8" x14ac:dyDescent="0.2">
      <c r="A104" s="97"/>
      <c r="B104" s="61" t="s">
        <v>439</v>
      </c>
      <c r="C104" s="61" t="str">
        <f>RSD_RHFL!B97</f>
        <v>R_ES-SC-FL_GAS06</v>
      </c>
      <c r="D104" s="137" t="str">
        <f>'Generalized Data'!B81&amp;" - "&amp;$C$56</f>
        <v>Centralized gas air conditioner - Flat</v>
      </c>
      <c r="E104" s="61" t="s">
        <v>30</v>
      </c>
      <c r="F104" s="61" t="s">
        <v>31</v>
      </c>
      <c r="G104" s="61"/>
      <c r="H104" s="64"/>
    </row>
    <row r="105" spans="1:8" x14ac:dyDescent="0.2">
      <c r="A105" s="97"/>
      <c r="B105" s="61" t="s">
        <v>439</v>
      </c>
      <c r="C105" s="61" t="str">
        <f>RSD_RHFL!B98</f>
        <v>R_ES-SC-FL_GAS07</v>
      </c>
      <c r="D105" s="137" t="str">
        <f>'Generalized Data'!B82&amp;" - "&amp;$C$56</f>
        <v>Non reversible gas heat pump - Flat</v>
      </c>
      <c r="E105" s="61" t="s">
        <v>30</v>
      </c>
      <c r="F105" s="61" t="s">
        <v>31</v>
      </c>
      <c r="G105" s="61"/>
      <c r="H105" s="64"/>
    </row>
    <row r="106" spans="1:8" ht="13.5" thickBot="1" x14ac:dyDescent="0.25">
      <c r="A106" s="97"/>
      <c r="B106" s="138" t="s">
        <v>439</v>
      </c>
      <c r="C106" s="138" t="str">
        <f>RSD_RHFL!B99</f>
        <v>R_ES-SC-FL_ELC08</v>
      </c>
      <c r="D106" s="138" t="str">
        <f>'Generalized Data'!B83&amp;" - "&amp;$C$56</f>
        <v>Centralized solar air conditioner - Flat</v>
      </c>
      <c r="E106" s="138" t="s">
        <v>30</v>
      </c>
      <c r="F106" s="138" t="s">
        <v>31</v>
      </c>
      <c r="G106" s="138"/>
      <c r="H106" s="64"/>
    </row>
    <row r="107" spans="1:8" ht="14.25" x14ac:dyDescent="0.2">
      <c r="A107" s="97"/>
      <c r="B107" s="102" t="str">
        <f>"\I:"&amp;"RHSD"</f>
        <v>\I:RHSD</v>
      </c>
      <c r="C107" s="141" t="s">
        <v>469</v>
      </c>
      <c r="D107" s="142"/>
      <c r="E107" s="141"/>
      <c r="F107" s="141"/>
      <c r="G107" s="141"/>
      <c r="H107" s="141"/>
    </row>
    <row r="108" spans="1:8" x14ac:dyDescent="0.2">
      <c r="A108" s="97"/>
      <c r="B108" s="61" t="s">
        <v>797</v>
      </c>
      <c r="C108" s="61" t="str">
        <f>RSD_RHSD!B6</f>
        <v>R_ES-SH-SD_BIO01</v>
      </c>
      <c r="D108" s="61" t="str">
        <f>'Generalized Data'!B31&amp;" - "&amp;$C$107</f>
        <v>Wood Fireplace - Semi-Detached</v>
      </c>
      <c r="E108" s="61" t="s">
        <v>30</v>
      </c>
      <c r="F108" s="61" t="s">
        <v>31</v>
      </c>
      <c r="G108" s="61"/>
      <c r="H108" s="64"/>
    </row>
    <row r="109" spans="1:8" x14ac:dyDescent="0.2">
      <c r="A109" s="97"/>
      <c r="B109" s="61" t="s">
        <v>797</v>
      </c>
      <c r="C109" s="61" t="str">
        <f>RSD_RHSD!B7</f>
        <v>R_ES-SH-SD_BIO02</v>
      </c>
      <c r="D109" s="61" t="str">
        <f>'Generalized Data'!B32&amp;" - "&amp;$C$107</f>
        <v>Biomass stove - Semi-Detached</v>
      </c>
      <c r="E109" s="61" t="s">
        <v>30</v>
      </c>
      <c r="F109" s="61" t="s">
        <v>31</v>
      </c>
      <c r="G109" s="61"/>
      <c r="H109" s="64"/>
    </row>
    <row r="110" spans="1:8" x14ac:dyDescent="0.2">
      <c r="A110" s="97"/>
      <c r="B110" s="61" t="s">
        <v>797</v>
      </c>
      <c r="C110" s="61" t="str">
        <f>RSD_RHSD!B8</f>
        <v>R_ES-SH-SD_BDL01</v>
      </c>
      <c r="D110" s="61" t="str">
        <f>'Generalized Data'!B33&amp;" - "&amp;$C$107</f>
        <v>Biodiesel Boiler.HeatHotwater - Semi-Detached</v>
      </c>
      <c r="E110" s="61" t="s">
        <v>30</v>
      </c>
      <c r="F110" s="61" t="s">
        <v>31</v>
      </c>
      <c r="G110" s="61"/>
      <c r="H110" s="64"/>
    </row>
    <row r="111" spans="1:8" x14ac:dyDescent="0.2">
      <c r="A111" s="97"/>
      <c r="B111" s="61" t="s">
        <v>797</v>
      </c>
      <c r="C111" s="61" t="str">
        <f>RSD_RHSD!B10</f>
        <v>R_ES-SH-SD_ELC01</v>
      </c>
      <c r="D111" s="61" t="str">
        <f>'Generalized Data'!B34&amp;" - "&amp;$C$107</f>
        <v>Electric radiators  - Semi-Detached</v>
      </c>
      <c r="E111" s="61" t="s">
        <v>30</v>
      </c>
      <c r="F111" s="61" t="s">
        <v>31</v>
      </c>
      <c r="G111" s="61"/>
      <c r="H111" s="64"/>
    </row>
    <row r="112" spans="1:8" x14ac:dyDescent="0.2">
      <c r="A112" s="97"/>
      <c r="B112" s="61" t="s">
        <v>797</v>
      </c>
      <c r="C112" s="61" t="str">
        <f>RSD_RHSD!B11</f>
        <v>R_ES-SH-SD_ELC02</v>
      </c>
      <c r="D112" s="61" t="str">
        <f>'Generalized Data'!B35&amp;" - "&amp;$C$107</f>
        <v>Air heat pump Electric - Semi-Detached</v>
      </c>
      <c r="E112" s="61" t="s">
        <v>30</v>
      </c>
      <c r="F112" s="61" t="s">
        <v>31</v>
      </c>
      <c r="G112" s="61"/>
      <c r="H112" s="64" t="s">
        <v>384</v>
      </c>
    </row>
    <row r="113" spans="1:8" x14ac:dyDescent="0.2">
      <c r="A113" s="97"/>
      <c r="B113" s="61" t="s">
        <v>797</v>
      </c>
      <c r="C113" s="61" t="str">
        <f>RSD_RHSD!B13</f>
        <v>R_ES-SH-SD_ELC03</v>
      </c>
      <c r="D113" s="61" t="str">
        <f>'Generalized Data'!B36&amp;" - "&amp;$C$107</f>
        <v>Air heat pump Electric HeatCool - Semi-Detached</v>
      </c>
      <c r="E113" s="61" t="s">
        <v>30</v>
      </c>
      <c r="F113" s="61" t="s">
        <v>31</v>
      </c>
      <c r="G113" s="61"/>
      <c r="H113" s="64" t="s">
        <v>384</v>
      </c>
    </row>
    <row r="114" spans="1:8" x14ac:dyDescent="0.2">
      <c r="A114" s="97"/>
      <c r="B114" s="61" t="s">
        <v>797</v>
      </c>
      <c r="C114" s="61" t="str">
        <f>RSD_RHSD!B16</f>
        <v>R_ES-SH-SD_ELC04</v>
      </c>
      <c r="D114" s="61" t="str">
        <f>'Generalized Data'!B37&amp;" - "&amp;$C$107</f>
        <v>Adv Air heat pump Electric HeatCool - Semi-Detached</v>
      </c>
      <c r="E114" s="61" t="s">
        <v>30</v>
      </c>
      <c r="F114" s="61" t="s">
        <v>31</v>
      </c>
      <c r="G114" s="61"/>
      <c r="H114" s="64" t="s">
        <v>384</v>
      </c>
    </row>
    <row r="115" spans="1:8" x14ac:dyDescent="0.2">
      <c r="A115" s="97"/>
      <c r="B115" s="61" t="s">
        <v>797</v>
      </c>
      <c r="C115" s="61" t="str">
        <f>RSD_RHSD!B19</f>
        <v>R_ES-SH-SD_ELC05</v>
      </c>
      <c r="D115" s="61" t="str">
        <f>'Generalized Data'!B38&amp;" - "&amp;$C$107</f>
        <v>Ground heat pump Hor Electric HeatCool - Semi-Detached</v>
      </c>
      <c r="E115" s="61" t="s">
        <v>30</v>
      </c>
      <c r="F115" s="61" t="s">
        <v>31</v>
      </c>
      <c r="G115" s="61"/>
      <c r="H115" s="64" t="s">
        <v>384</v>
      </c>
    </row>
    <row r="116" spans="1:8" x14ac:dyDescent="0.2">
      <c r="A116" s="97"/>
      <c r="B116" s="61" t="s">
        <v>797</v>
      </c>
      <c r="C116" s="61" t="str">
        <f>RSD_RHSD!B22</f>
        <v>R_ES-SH-SD_ELC06</v>
      </c>
      <c r="D116" s="61" t="str">
        <f>'Generalized Data'!B39&amp;" - "&amp;$C$107</f>
        <v>Ground heat pump Ver Electric HeatCool - Semi-Detached</v>
      </c>
      <c r="E116" s="61" t="s">
        <v>30</v>
      </c>
      <c r="F116" s="61" t="s">
        <v>31</v>
      </c>
      <c r="G116" s="61"/>
      <c r="H116" s="64" t="s">
        <v>384</v>
      </c>
    </row>
    <row r="117" spans="1:8" x14ac:dyDescent="0.2">
      <c r="A117" s="97"/>
      <c r="B117" s="61" t="s">
        <v>797</v>
      </c>
      <c r="C117" s="61" t="str">
        <f>RSD_RHSD!B25</f>
        <v>R_ES-SH-SD_ELC07</v>
      </c>
      <c r="D117" s="61" t="str">
        <f>'Generalized Data'!B40&amp;" - "&amp;$C$107</f>
        <v>Groundwater heat pump Electric Heat Cool - Semi-Detached</v>
      </c>
      <c r="E117" s="61" t="s">
        <v>30</v>
      </c>
      <c r="F117" s="61" t="s">
        <v>31</v>
      </c>
      <c r="G117" s="61"/>
      <c r="H117" s="64" t="s">
        <v>384</v>
      </c>
    </row>
    <row r="118" spans="1:8" x14ac:dyDescent="0.2">
      <c r="A118" s="97"/>
      <c r="B118" s="61" t="s">
        <v>797</v>
      </c>
      <c r="C118" s="61" t="str">
        <f>RSD_RHSD!B28</f>
        <v>R_ES-SH-SD_GAS01</v>
      </c>
      <c r="D118" s="61" t="str">
        <f>'Generalized Data'!B41&amp;" - "&amp;$C$107</f>
        <v>Natural gas stove  - Semi-Detached</v>
      </c>
      <c r="E118" s="61" t="s">
        <v>30</v>
      </c>
      <c r="F118" s="61" t="s">
        <v>31</v>
      </c>
      <c r="G118" s="61"/>
      <c r="H118" s="64"/>
    </row>
    <row r="119" spans="1:8" x14ac:dyDescent="0.2">
      <c r="A119" s="97"/>
      <c r="B119" s="61" t="s">
        <v>797</v>
      </c>
      <c r="C119" s="61" t="str">
        <f>RSD_RHSD!B29</f>
        <v>R_ES-SH-SD_GAS02</v>
      </c>
      <c r="D119" s="61" t="str">
        <f>'Generalized Data'!B42&amp;" - "&amp;$C$107</f>
        <v>Natural gas boiler  - Semi-Detached</v>
      </c>
      <c r="E119" s="61" t="s">
        <v>30</v>
      </c>
      <c r="F119" s="61" t="s">
        <v>31</v>
      </c>
      <c r="G119" s="61"/>
      <c r="H119" s="64"/>
    </row>
    <row r="120" spans="1:8" x14ac:dyDescent="0.2">
      <c r="A120" s="97"/>
      <c r="B120" s="61" t="s">
        <v>797</v>
      </c>
      <c r="C120" s="61" t="str">
        <f>RSD_RHSD!B30</f>
        <v>R_ES-SH-SD_GAS03</v>
      </c>
      <c r="D120" s="61" t="str">
        <f>'Generalized Data'!B43&amp;" - "&amp;$C$107</f>
        <v>Natural gas boiler.HeatHotwater  - Semi-Detached</v>
      </c>
      <c r="E120" s="61" t="s">
        <v>30</v>
      </c>
      <c r="F120" s="61" t="s">
        <v>31</v>
      </c>
      <c r="G120" s="61"/>
      <c r="H120" s="64"/>
    </row>
    <row r="121" spans="1:8" x14ac:dyDescent="0.2">
      <c r="A121" s="97"/>
      <c r="B121" s="61" t="s">
        <v>797</v>
      </c>
      <c r="C121" s="61" t="str">
        <f>RSD_RHSD!B32</f>
        <v>R_ES-SH-SD_GAS04</v>
      </c>
      <c r="D121" s="61" t="str">
        <f>'Generalized Data'!B44&amp;" - "&amp;$C$107</f>
        <v>Natural gas boiler condensing  - Semi-Detached</v>
      </c>
      <c r="E121" s="61" t="s">
        <v>30</v>
      </c>
      <c r="F121" s="61" t="s">
        <v>31</v>
      </c>
      <c r="G121" s="61"/>
      <c r="H121" s="64"/>
    </row>
    <row r="122" spans="1:8" x14ac:dyDescent="0.2">
      <c r="A122" s="97"/>
      <c r="B122" s="61" t="s">
        <v>797</v>
      </c>
      <c r="C122" s="61" t="str">
        <f>RSD_RHSD!B33</f>
        <v>R_ES-SH-SD_GAS05</v>
      </c>
      <c r="D122" s="61" t="str">
        <f>'Generalized Data'!B45&amp;" - "&amp;$C$107</f>
        <v>Natural gas boiler condensing.HeatHotwater  - Semi-Detached</v>
      </c>
      <c r="E122" s="61" t="s">
        <v>30</v>
      </c>
      <c r="F122" s="61" t="s">
        <v>31</v>
      </c>
      <c r="G122" s="61"/>
      <c r="H122" s="64"/>
    </row>
    <row r="123" spans="1:8" x14ac:dyDescent="0.2">
      <c r="A123" s="97"/>
      <c r="B123" s="61" t="s">
        <v>797</v>
      </c>
      <c r="C123" s="61" t="str">
        <f>RSD_RHSD!B35</f>
        <v>R_ES-SH-SD_GAS06</v>
      </c>
      <c r="D123" s="61" t="str">
        <f>'Generalized Data'!B46&amp;" - "&amp;$C$107</f>
        <v>Air heat pump with natural gas HeatCool - Semi-Detached</v>
      </c>
      <c r="E123" s="61" t="s">
        <v>30</v>
      </c>
      <c r="F123" s="61" t="s">
        <v>31</v>
      </c>
      <c r="G123" s="61"/>
      <c r="H123" s="64" t="s">
        <v>384</v>
      </c>
    </row>
    <row r="124" spans="1:8" x14ac:dyDescent="0.2">
      <c r="A124" s="97"/>
      <c r="B124" s="61" t="s">
        <v>797</v>
      </c>
      <c r="C124" s="61" t="str">
        <f>RSD_RHSD!B37</f>
        <v>R_ES-SH-SD_GAS07</v>
      </c>
      <c r="D124" s="61" t="str">
        <f>'Generalized Data'!B47&amp;" - "&amp;$C$107</f>
        <v>Groundwater heat pump with natural gas.HeatCool - Semi-Detached</v>
      </c>
      <c r="E124" s="61" t="s">
        <v>30</v>
      </c>
      <c r="F124" s="61" t="s">
        <v>31</v>
      </c>
      <c r="G124" s="61"/>
      <c r="H124" s="64" t="s">
        <v>384</v>
      </c>
    </row>
    <row r="125" spans="1:8" x14ac:dyDescent="0.2">
      <c r="A125" s="97"/>
      <c r="B125" s="61" t="s">
        <v>797</v>
      </c>
      <c r="C125" s="61" t="str">
        <f>RSD_RHSD!B39</f>
        <v>R_ES-SH-SD_HH201</v>
      </c>
      <c r="D125" s="61" t="str">
        <f>'Generalized Data'!B48&amp;" - "&amp;$C$107</f>
        <v>Hydrogen  burner - Semi-Detached</v>
      </c>
      <c r="E125" s="61" t="s">
        <v>30</v>
      </c>
      <c r="F125" s="61" t="s">
        <v>31</v>
      </c>
      <c r="G125" s="61"/>
      <c r="H125" s="64"/>
    </row>
    <row r="126" spans="1:8" x14ac:dyDescent="0.2">
      <c r="A126" s="97"/>
      <c r="B126" s="61" t="s">
        <v>797</v>
      </c>
      <c r="C126" s="61" t="str">
        <f>RSD_RHSD!B41</f>
        <v>R_ES-SH-SD_LPG01</v>
      </c>
      <c r="D126" s="61" t="str">
        <f>'Generalized Data'!B49&amp;" - "&amp;$C$107</f>
        <v>LPG stove - Semi-Detached</v>
      </c>
      <c r="E126" s="61" t="s">
        <v>30</v>
      </c>
      <c r="F126" s="61" t="s">
        <v>31</v>
      </c>
      <c r="G126" s="61"/>
      <c r="H126" s="64"/>
    </row>
    <row r="127" spans="1:8" x14ac:dyDescent="0.2">
      <c r="A127" s="97"/>
      <c r="B127" s="61" t="s">
        <v>797</v>
      </c>
      <c r="C127" s="61" t="str">
        <f>RSD_RHSD!B42</f>
        <v>R_ES-SH-SD_LPG02</v>
      </c>
      <c r="D127" s="61" t="str">
        <f>'Generalized Data'!B50&amp;" - "&amp;$C$107</f>
        <v>LPG boiler  - Semi-Detached</v>
      </c>
      <c r="E127" s="61" t="s">
        <v>30</v>
      </c>
      <c r="F127" s="61" t="s">
        <v>31</v>
      </c>
      <c r="G127" s="61"/>
      <c r="H127" s="64"/>
    </row>
    <row r="128" spans="1:8" x14ac:dyDescent="0.2">
      <c r="A128" s="97"/>
      <c r="B128" s="61" t="s">
        <v>797</v>
      </c>
      <c r="C128" s="61" t="str">
        <f>RSD_RHSD!B43</f>
        <v>R_ES-SH-SD_LPG03</v>
      </c>
      <c r="D128" s="61" t="str">
        <f>'Generalized Data'!B51&amp;" - "&amp;$C$107</f>
        <v>LPG boiler.HeatHotwater  - Semi-Detached</v>
      </c>
      <c r="E128" s="61" t="s">
        <v>30</v>
      </c>
      <c r="F128" s="61" t="s">
        <v>31</v>
      </c>
      <c r="G128" s="61"/>
      <c r="H128" s="64"/>
    </row>
    <row r="129" spans="1:8" x14ac:dyDescent="0.2">
      <c r="A129" s="97"/>
      <c r="B129" s="61" t="s">
        <v>797</v>
      </c>
      <c r="C129" s="61" t="str">
        <f>RSD_RHSD!B45</f>
        <v>R_ES-SH-SD_LPG04</v>
      </c>
      <c r="D129" s="61" t="str">
        <f>'Generalized Data'!B52&amp;" - "&amp;$C$107</f>
        <v>Air heat pump with LPG HeatCool - Semi-Detached</v>
      </c>
      <c r="E129" s="61" t="s">
        <v>30</v>
      </c>
      <c r="F129" s="61" t="s">
        <v>31</v>
      </c>
      <c r="G129" s="61"/>
      <c r="H129" s="64" t="s">
        <v>384</v>
      </c>
    </row>
    <row r="130" spans="1:8" x14ac:dyDescent="0.2">
      <c r="A130" s="97"/>
      <c r="B130" s="61" t="s">
        <v>797</v>
      </c>
      <c r="C130" s="61" t="str">
        <f>RSD_RHSD!B47</f>
        <v>R_ES-SH-SD_LPG05</v>
      </c>
      <c r="D130" s="61" t="str">
        <f>'Generalized Data'!B53&amp;" - "&amp;$C$107</f>
        <v>Groundwater heat pump with LPG HeatCool - Semi-Detached</v>
      </c>
      <c r="E130" s="61" t="s">
        <v>30</v>
      </c>
      <c r="F130" s="61" t="s">
        <v>31</v>
      </c>
      <c r="G130" s="61"/>
      <c r="H130" s="64" t="s">
        <v>384</v>
      </c>
    </row>
    <row r="131" spans="1:8" x14ac:dyDescent="0.2">
      <c r="A131" s="97"/>
      <c r="B131" s="61" t="s">
        <v>797</v>
      </c>
      <c r="C131" s="61" t="str">
        <f>RSD_RHSD!B49</f>
        <v>R_ES-SH-SD_HET01</v>
      </c>
      <c r="D131" s="61" t="str">
        <f>'Generalized Data'!B54&amp;" - "&amp;$C$107</f>
        <v>District heat exchanger.HeatHotwater  - Semi-Detached</v>
      </c>
      <c r="E131" s="61" t="s">
        <v>30</v>
      </c>
      <c r="F131" s="61" t="s">
        <v>31</v>
      </c>
      <c r="G131" s="61"/>
      <c r="H131" s="64"/>
    </row>
    <row r="132" spans="1:8" x14ac:dyDescent="0.2">
      <c r="A132" s="97"/>
      <c r="B132" s="61" t="s">
        <v>797</v>
      </c>
      <c r="C132" s="61" t="str">
        <f>RSD_RHSD!B51</f>
        <v>R_ES-SH-SD_OIL01</v>
      </c>
      <c r="D132" s="61" t="str">
        <f>'Generalized Data'!B55&amp;" - "&amp;$C$107</f>
        <v>Oil stove - Semi-Detached</v>
      </c>
      <c r="E132" s="61" t="s">
        <v>30</v>
      </c>
      <c r="F132" s="61" t="s">
        <v>31</v>
      </c>
      <c r="G132" s="61"/>
      <c r="H132" s="64"/>
    </row>
    <row r="133" spans="1:8" x14ac:dyDescent="0.2">
      <c r="A133" s="97"/>
      <c r="B133" s="61" t="s">
        <v>797</v>
      </c>
      <c r="C133" s="61" t="str">
        <f>RSD_RHSD!B52</f>
        <v>R_ES-SH-SD_OIL02</v>
      </c>
      <c r="D133" s="61" t="str">
        <f>'Generalized Data'!B56&amp;" - "&amp;$C$107</f>
        <v>Oil boiler  - Semi-Detached</v>
      </c>
      <c r="E133" s="61" t="s">
        <v>30</v>
      </c>
      <c r="F133" s="61" t="s">
        <v>31</v>
      </c>
      <c r="G133" s="61"/>
      <c r="H133" s="64"/>
    </row>
    <row r="134" spans="1:8" x14ac:dyDescent="0.2">
      <c r="A134" s="97"/>
      <c r="B134" s="61" t="s">
        <v>797</v>
      </c>
      <c r="C134" s="61" t="str">
        <f>RSD_RHSD!B53</f>
        <v>R_ES-SH-SD_OIL03</v>
      </c>
      <c r="D134" s="61" t="str">
        <f>'Generalized Data'!B57&amp;" - "&amp;$C$107</f>
        <v>Oil boiler.HeatHotwater  - Semi-Detached</v>
      </c>
      <c r="E134" s="61" t="s">
        <v>30</v>
      </c>
      <c r="F134" s="61" t="s">
        <v>31</v>
      </c>
      <c r="G134" s="61"/>
      <c r="H134" s="64"/>
    </row>
    <row r="135" spans="1:8" x14ac:dyDescent="0.2">
      <c r="A135" s="97"/>
      <c r="B135" s="61" t="s">
        <v>797</v>
      </c>
      <c r="C135" s="61" t="str">
        <f>RSD_RHSD!B55</f>
        <v>R_ES-SH-SD_OIL04</v>
      </c>
      <c r="D135" s="61" t="str">
        <f>'Generalized Data'!B58&amp;" - "&amp;$C$107</f>
        <v>Oil boiler condensing.HeatHotwater - Semi-Detached</v>
      </c>
      <c r="E135" s="61" t="s">
        <v>30</v>
      </c>
      <c r="F135" s="61" t="s">
        <v>31</v>
      </c>
      <c r="G135" s="61"/>
      <c r="H135" s="64"/>
    </row>
    <row r="136" spans="1:8" x14ac:dyDescent="0.2">
      <c r="A136" s="97"/>
      <c r="B136" s="61" t="s">
        <v>797</v>
      </c>
      <c r="C136" s="61" t="str">
        <f>RSD_RHSD!B57</f>
        <v>R_ES-SH-SD_ELC08</v>
      </c>
      <c r="D136" s="61" t="str">
        <f>'Generalized Data'!B59&amp;" - "&amp;$C$107</f>
        <v>Solar collector with electric backup.HeatHotwater  - Semi-Detached</v>
      </c>
      <c r="E136" s="61" t="s">
        <v>30</v>
      </c>
      <c r="F136" s="61" t="s">
        <v>31</v>
      </c>
      <c r="G136" s="61"/>
      <c r="H136" s="64"/>
    </row>
    <row r="137" spans="1:8" x14ac:dyDescent="0.2">
      <c r="A137" s="97"/>
      <c r="B137" s="61" t="s">
        <v>797</v>
      </c>
      <c r="C137" s="61" t="str">
        <f>RSD_RHSD!B59</f>
        <v>R_ES-SH-SD_OIL05</v>
      </c>
      <c r="D137" s="61" t="str">
        <f>'Generalized Data'!B60&amp;" - "&amp;$C$107</f>
        <v>Solar collector with diesel backup.HeatHotwater  - Semi-Detached</v>
      </c>
      <c r="E137" s="61" t="s">
        <v>30</v>
      </c>
      <c r="F137" s="61" t="s">
        <v>31</v>
      </c>
      <c r="G137" s="61"/>
      <c r="H137" s="64"/>
    </row>
    <row r="138" spans="1:8" x14ac:dyDescent="0.2">
      <c r="A138" s="97"/>
      <c r="B138" s="61" t="s">
        <v>797</v>
      </c>
      <c r="C138" s="61" t="str">
        <f>RSD_RHSD!B61</f>
        <v>R_ES-SH-SD_GAS08</v>
      </c>
      <c r="D138" s="61" t="str">
        <f>'Generalized Data'!B61&amp;" - "&amp;$C$107</f>
        <v>Solar collector with gas backup.HeatHotwater  - Semi-Detached</v>
      </c>
      <c r="E138" s="61" t="s">
        <v>30</v>
      </c>
      <c r="F138" s="61" t="s">
        <v>31</v>
      </c>
      <c r="G138" s="61"/>
      <c r="H138" s="64"/>
    </row>
    <row r="139" spans="1:8" x14ac:dyDescent="0.2">
      <c r="A139" s="97"/>
      <c r="B139" s="136" t="s">
        <v>797</v>
      </c>
      <c r="C139" s="136" t="str">
        <f>RSD_RHSD!B63</f>
        <v>R_ES-SH-SD_BIO03</v>
      </c>
      <c r="D139" s="136" t="str">
        <f>'Generalized Data'!B62&amp;" - "&amp;$C$107</f>
        <v>Wood-pellets boiler.HeatHotwater  - Semi-Detached</v>
      </c>
      <c r="E139" s="136" t="s">
        <v>30</v>
      </c>
      <c r="F139" s="136" t="s">
        <v>31</v>
      </c>
      <c r="G139" s="136"/>
      <c r="H139" s="104"/>
    </row>
    <row r="140" spans="1:8" x14ac:dyDescent="0.2">
      <c r="A140" s="97"/>
      <c r="B140" s="61" t="s">
        <v>439</v>
      </c>
      <c r="C140" s="61" t="str">
        <f>RSD_RHSD!B71</f>
        <v>R_ES-WH-SD_BIO01</v>
      </c>
      <c r="D140" s="61" t="str">
        <f>'Generalized Data'!B64&amp;" - "&amp;$C$107</f>
        <v>Wood pellets boiler water heater - Semi-Detached</v>
      </c>
      <c r="E140" s="61" t="s">
        <v>30</v>
      </c>
      <c r="F140" s="61" t="s">
        <v>31</v>
      </c>
      <c r="G140" s="61"/>
      <c r="H140" s="64"/>
    </row>
    <row r="141" spans="1:8" x14ac:dyDescent="0.2">
      <c r="A141" s="97"/>
      <c r="B141" s="61" t="s">
        <v>439</v>
      </c>
      <c r="C141" s="61" t="str">
        <f>RSD_RHSD!B72</f>
        <v>R_ES-WH-SD_ELC01</v>
      </c>
      <c r="D141" s="61" t="str">
        <f>'Generalized Data'!B65&amp;" - "&amp;$C$107</f>
        <v>Electric boiler water heater resistance - Semi-Detached</v>
      </c>
      <c r="E141" s="61" t="s">
        <v>30</v>
      </c>
      <c r="F141" s="61" t="s">
        <v>31</v>
      </c>
      <c r="G141" s="61"/>
      <c r="H141" s="64"/>
    </row>
    <row r="142" spans="1:8" x14ac:dyDescent="0.2">
      <c r="A142" s="97"/>
      <c r="B142" s="61" t="s">
        <v>439</v>
      </c>
      <c r="C142" s="61" t="str">
        <f>RSD_RHSD!B73</f>
        <v>R_ES-WH-SD_ELC02</v>
      </c>
      <c r="D142" s="61" t="str">
        <f>'Generalized Data'!B66&amp;" - "&amp;$C$107</f>
        <v>Electric heat pump water heater - Semi-Detached</v>
      </c>
      <c r="E142" s="61" t="s">
        <v>30</v>
      </c>
      <c r="F142" s="61" t="s">
        <v>31</v>
      </c>
      <c r="G142" s="61"/>
      <c r="H142" s="64"/>
    </row>
    <row r="143" spans="1:8" x14ac:dyDescent="0.2">
      <c r="A143" s="97"/>
      <c r="B143" s="61" t="s">
        <v>439</v>
      </c>
      <c r="C143" s="61" t="str">
        <f>RSD_RHSD!B75</f>
        <v>R_ES-WH-SD_GAS01</v>
      </c>
      <c r="D143" s="61" t="str">
        <f>'Generalized Data'!B67&amp;" - "&amp;$C$107</f>
        <v>Natural gas boiler water heater - Semi-Detached</v>
      </c>
      <c r="E143" s="61" t="s">
        <v>30</v>
      </c>
      <c r="F143" s="61" t="s">
        <v>31</v>
      </c>
      <c r="G143" s="61"/>
      <c r="H143" s="64"/>
    </row>
    <row r="144" spans="1:8" x14ac:dyDescent="0.2">
      <c r="A144" s="97"/>
      <c r="B144" s="61" t="s">
        <v>439</v>
      </c>
      <c r="C144" s="61" t="str">
        <f>RSD_RHSD!B76</f>
        <v>R_ES-WH-SD_GEO01</v>
      </c>
      <c r="D144" s="61" t="str">
        <f>'Generalized Data'!B68&amp;" - "&amp;$C$107</f>
        <v>Geo Heat Exchanger water heater - Semi-Detached</v>
      </c>
      <c r="E144" s="61" t="s">
        <v>30</v>
      </c>
      <c r="F144" s="61" t="s">
        <v>31</v>
      </c>
      <c r="G144" s="61"/>
      <c r="H144" s="64"/>
    </row>
    <row r="145" spans="1:8" x14ac:dyDescent="0.2">
      <c r="A145" s="97"/>
      <c r="B145" s="61" t="s">
        <v>439</v>
      </c>
      <c r="C145" s="61" t="str">
        <f>RSD_RHSD!B77</f>
        <v>R_ES-WH-SD_LPG01</v>
      </c>
      <c r="D145" s="61" t="str">
        <f>'Generalized Data'!B69&amp;" - "&amp;$C$107</f>
        <v>LPG boiler water heater - Semi-Detached</v>
      </c>
      <c r="E145" s="61" t="s">
        <v>30</v>
      </c>
      <c r="F145" s="61" t="s">
        <v>31</v>
      </c>
      <c r="G145" s="61"/>
      <c r="H145" s="64"/>
    </row>
    <row r="146" spans="1:8" x14ac:dyDescent="0.2">
      <c r="A146" s="97"/>
      <c r="B146" s="61" t="s">
        <v>439</v>
      </c>
      <c r="C146" s="61" t="str">
        <f>RSD_RHSD!B78</f>
        <v>R_ES-WH-SD_OIL01</v>
      </c>
      <c r="D146" s="61" t="str">
        <f>'Generalized Data'!B70&amp;" - "&amp;$C$107</f>
        <v>Oil boiler water heater - Semi-Detached</v>
      </c>
      <c r="E146" s="61" t="s">
        <v>30</v>
      </c>
      <c r="F146" s="61" t="s">
        <v>31</v>
      </c>
      <c r="G146" s="61"/>
      <c r="H146" s="64"/>
    </row>
    <row r="147" spans="1:8" x14ac:dyDescent="0.2">
      <c r="A147" s="97"/>
      <c r="B147" s="61" t="s">
        <v>439</v>
      </c>
      <c r="C147" s="61" t="str">
        <f>RSD_RHSD!B79</f>
        <v>R_ES-WH-SD_ELC03</v>
      </c>
      <c r="D147" s="61" t="str">
        <f>'Generalized Data'!B71&amp;" - "&amp;$C$107</f>
        <v>Solar water heater with electricity backup - Semi-Detached</v>
      </c>
      <c r="E147" s="61" t="s">
        <v>30</v>
      </c>
      <c r="F147" s="61" t="s">
        <v>31</v>
      </c>
      <c r="G147" s="61"/>
      <c r="H147" s="64"/>
    </row>
    <row r="148" spans="1:8" x14ac:dyDescent="0.2">
      <c r="A148" s="97"/>
      <c r="B148" s="61" t="s">
        <v>439</v>
      </c>
      <c r="C148" s="61" t="str">
        <f>RSD_RHSD!B81</f>
        <v>R_ES-WH-SD_OIL02</v>
      </c>
      <c r="D148" s="61" t="str">
        <f>'Generalized Data'!B72&amp;" - "&amp;$C$107</f>
        <v>Solar water heater with diesel backup - Semi-Detached</v>
      </c>
      <c r="E148" s="61" t="s">
        <v>30</v>
      </c>
      <c r="F148" s="61" t="s">
        <v>31</v>
      </c>
      <c r="G148" s="61"/>
      <c r="H148" s="64"/>
    </row>
    <row r="149" spans="1:8" x14ac:dyDescent="0.2">
      <c r="A149" s="97"/>
      <c r="B149" s="136" t="s">
        <v>439</v>
      </c>
      <c r="C149" s="136" t="str">
        <f>RSD_RHSD!B83</f>
        <v>R_ES-WH-SD_GAS02</v>
      </c>
      <c r="D149" s="136" t="str">
        <f>'Generalized Data'!B73&amp;" - "&amp;$C$107</f>
        <v>Solar water heater with gas backup - Semi-Detached</v>
      </c>
      <c r="E149" s="136" t="s">
        <v>30</v>
      </c>
      <c r="F149" s="136" t="s">
        <v>31</v>
      </c>
      <c r="G149" s="136"/>
      <c r="H149" s="104"/>
    </row>
    <row r="150" spans="1:8" x14ac:dyDescent="0.2">
      <c r="A150" s="97"/>
      <c r="B150" s="61" t="s">
        <v>439</v>
      </c>
      <c r="C150" s="61" t="str">
        <f>RSD_RHSD!B92</f>
        <v>R_ES-SC-SD_ELC01</v>
      </c>
      <c r="D150" s="61" t="str">
        <f>'Generalized Data'!B76&amp;" - "&amp;$C$107</f>
        <v>Room air-conditioner - Semi-Detached</v>
      </c>
      <c r="E150" s="61" t="s">
        <v>30</v>
      </c>
      <c r="F150" s="61" t="s">
        <v>31</v>
      </c>
      <c r="G150" s="61"/>
      <c r="H150" s="64"/>
    </row>
    <row r="151" spans="1:8" x14ac:dyDescent="0.2">
      <c r="A151" s="97"/>
      <c r="B151" s="61" t="s">
        <v>439</v>
      </c>
      <c r="C151" s="61" t="str">
        <f>RSD_RHSD!B93</f>
        <v>R_ES-SC-SD_ELC02</v>
      </c>
      <c r="D151" s="61" t="str">
        <f>'Generalized Data'!B77&amp;" - "&amp;$C$107</f>
        <v>Air fans - Semi-Detached</v>
      </c>
      <c r="E151" s="61" t="s">
        <v>30</v>
      </c>
      <c r="F151" s="61" t="s">
        <v>31</v>
      </c>
      <c r="G151" s="61"/>
      <c r="H151" s="64"/>
    </row>
    <row r="152" spans="1:8" x14ac:dyDescent="0.2">
      <c r="A152" s="97"/>
      <c r="B152" s="61" t="s">
        <v>439</v>
      </c>
      <c r="C152" s="61" t="str">
        <f>RSD_RHSD!B94</f>
        <v>R_ES-SC-SD_ELC03</v>
      </c>
      <c r="D152" s="61" t="str">
        <f>'Generalized Data'!B78&amp;" - "&amp;$C$107</f>
        <v>Roof-top central electric chiller - Semi-Detached</v>
      </c>
      <c r="E152" s="61" t="s">
        <v>30</v>
      </c>
      <c r="F152" s="61" t="s">
        <v>31</v>
      </c>
      <c r="G152" s="61"/>
      <c r="H152" s="64"/>
    </row>
    <row r="153" spans="1:8" x14ac:dyDescent="0.2">
      <c r="A153" s="97"/>
      <c r="B153" s="61" t="s">
        <v>439</v>
      </c>
      <c r="C153" s="61" t="str">
        <f>RSD_RHSD!B95</f>
        <v>R_ES-SC-SD_ELC04</v>
      </c>
      <c r="D153" s="61" t="str">
        <f>'Generalized Data'!B79&amp;" - "&amp;$C$107</f>
        <v>Centralized electrical air conditioner - Semi-Detached</v>
      </c>
      <c r="E153" s="61" t="s">
        <v>30</v>
      </c>
      <c r="F153" s="61" t="s">
        <v>31</v>
      </c>
      <c r="G153" s="61"/>
      <c r="H153" s="64"/>
    </row>
    <row r="154" spans="1:8" x14ac:dyDescent="0.2">
      <c r="A154" s="97"/>
      <c r="B154" s="61" t="s">
        <v>439</v>
      </c>
      <c r="C154" s="61" t="str">
        <f>RSD_RHSD!B96</f>
        <v>R_ES-SC-SD_ELC05</v>
      </c>
      <c r="D154" s="61" t="str">
        <f>'Generalized Data'!B80&amp;" - "&amp;$C$107</f>
        <v>Non-reversible electricity heat pump - Semi-Detached</v>
      </c>
      <c r="E154" s="61" t="s">
        <v>30</v>
      </c>
      <c r="F154" s="61" t="s">
        <v>31</v>
      </c>
      <c r="G154" s="61"/>
      <c r="H154" s="64"/>
    </row>
    <row r="155" spans="1:8" x14ac:dyDescent="0.2">
      <c r="A155" s="97"/>
      <c r="B155" s="61" t="s">
        <v>439</v>
      </c>
      <c r="C155" s="61" t="str">
        <f>RSD_RHSD!B97</f>
        <v>R_ES-SC-SD_GAS06</v>
      </c>
      <c r="D155" s="61" t="str">
        <f>'Generalized Data'!B81&amp;" - "&amp;$C$107</f>
        <v>Centralized gas air conditioner - Semi-Detached</v>
      </c>
      <c r="E155" s="61" t="s">
        <v>30</v>
      </c>
      <c r="F155" s="61" t="s">
        <v>31</v>
      </c>
      <c r="G155" s="61"/>
      <c r="H155" s="64"/>
    </row>
    <row r="156" spans="1:8" x14ac:dyDescent="0.2">
      <c r="A156" s="97"/>
      <c r="B156" s="61" t="s">
        <v>439</v>
      </c>
      <c r="C156" s="61" t="str">
        <f>RSD_RHSD!B98</f>
        <v>R_ES-SC-SD_GAS07</v>
      </c>
      <c r="D156" s="61" t="str">
        <f>'Generalized Data'!B82&amp;" - "&amp;$C$107</f>
        <v>Non reversible gas heat pump - Semi-Detached</v>
      </c>
      <c r="E156" s="61" t="s">
        <v>30</v>
      </c>
      <c r="F156" s="61" t="s">
        <v>31</v>
      </c>
      <c r="G156" s="61"/>
      <c r="H156" s="64"/>
    </row>
    <row r="157" spans="1:8" ht="13.5" thickBot="1" x14ac:dyDescent="0.25">
      <c r="A157" s="97"/>
      <c r="B157" s="138" t="s">
        <v>439</v>
      </c>
      <c r="C157" s="138" t="str">
        <f>RSD_RHSD!B99</f>
        <v>R_ES-SC-SD_ELC08</v>
      </c>
      <c r="D157" s="138" t="str">
        <f>'Generalized Data'!B83&amp;" - "&amp;$C$107</f>
        <v>Centralized solar air conditioner - Semi-Detached</v>
      </c>
      <c r="E157" s="138" t="s">
        <v>30</v>
      </c>
      <c r="F157" s="138" t="s">
        <v>31</v>
      </c>
      <c r="G157" s="138"/>
      <c r="H157" s="105"/>
    </row>
    <row r="158" spans="1:8" ht="14.25" x14ac:dyDescent="0.2">
      <c r="A158" s="97"/>
      <c r="B158" s="100" t="str">
        <f>"\I:"&amp;"ROthers"</f>
        <v>\I:ROthers</v>
      </c>
      <c r="C158" s="142"/>
      <c r="D158" s="142"/>
      <c r="E158" s="142"/>
      <c r="F158" s="142"/>
      <c r="G158" s="142"/>
      <c r="H158" s="142"/>
    </row>
    <row r="159" spans="1:8" x14ac:dyDescent="0.2">
      <c r="A159" s="97"/>
      <c r="B159" s="64" t="s">
        <v>61</v>
      </c>
      <c r="C159" s="61" t="str">
        <f>COM_Other!B5</f>
        <v>RCDRELC101</v>
      </c>
      <c r="D159" s="61" t="str">
        <f>'Generalized Data'!$B$85</f>
        <v>Cloth drying high efficency (AB)</v>
      </c>
      <c r="E159" s="61" t="s">
        <v>829</v>
      </c>
      <c r="F159" s="61" t="s">
        <v>830</v>
      </c>
      <c r="G159" s="61"/>
      <c r="H159" s="61"/>
    </row>
    <row r="160" spans="1:8" x14ac:dyDescent="0.2">
      <c r="A160" s="97"/>
      <c r="B160" s="64" t="s">
        <v>61</v>
      </c>
      <c r="C160" s="61" t="str">
        <f>COM_Other!B6</f>
        <v>RCDRELC201</v>
      </c>
      <c r="D160" s="61" t="str">
        <f>'Generalized Data'!$B$86</f>
        <v>Cloth drying medium efficiency</v>
      </c>
      <c r="E160" s="61" t="s">
        <v>829</v>
      </c>
      <c r="F160" s="61" t="s">
        <v>830</v>
      </c>
      <c r="G160" s="61"/>
      <c r="H160" s="61"/>
    </row>
    <row r="161" spans="1:8" x14ac:dyDescent="0.2">
      <c r="A161" s="97"/>
      <c r="B161" s="61" t="s">
        <v>439</v>
      </c>
      <c r="C161" s="61" t="str">
        <f>COM_Other!B7</f>
        <v>R_ES-CK-DH_ELC01</v>
      </c>
      <c r="D161" s="61" t="str">
        <f>'Generalized Data'!$B$87&amp;" - "&amp;$C$5</f>
        <v>Cooking electric stove - Detached</v>
      </c>
      <c r="E161" s="61" t="s">
        <v>440</v>
      </c>
      <c r="F161" s="61" t="s">
        <v>31</v>
      </c>
      <c r="G161" s="61"/>
      <c r="H161" s="61"/>
    </row>
    <row r="162" spans="1:8" x14ac:dyDescent="0.2">
      <c r="A162" s="97"/>
      <c r="B162" s="61" t="s">
        <v>439</v>
      </c>
      <c r="C162" s="61" t="str">
        <f>COM_Other!B8</f>
        <v>R_ES-CK-DH_GAS01</v>
      </c>
      <c r="D162" s="61" t="str">
        <f>'Generalized Data'!$B$88&amp;" - "&amp;$C$5</f>
        <v>Cooking gas stove - Detached</v>
      </c>
      <c r="E162" s="61" t="s">
        <v>440</v>
      </c>
      <c r="F162" s="61" t="s">
        <v>31</v>
      </c>
      <c r="G162" s="61"/>
      <c r="H162" s="61"/>
    </row>
    <row r="163" spans="1:8" x14ac:dyDescent="0.2">
      <c r="A163" s="97"/>
      <c r="B163" s="61" t="s">
        <v>439</v>
      </c>
      <c r="C163" s="61" t="str">
        <f>COM_Other!B9</f>
        <v>R_ES-CK-DH_LPG01</v>
      </c>
      <c r="D163" s="61" t="str">
        <f>'Generalized Data'!$B$89&amp;" - "&amp;$C$5</f>
        <v>Cooking LPG stove - Detached</v>
      </c>
      <c r="E163" s="61" t="s">
        <v>440</v>
      </c>
      <c r="F163" s="61" t="s">
        <v>31</v>
      </c>
      <c r="G163" s="61"/>
      <c r="H163" s="61"/>
    </row>
    <row r="164" spans="1:8" x14ac:dyDescent="0.2">
      <c r="A164" s="97"/>
      <c r="B164" s="61" t="s">
        <v>439</v>
      </c>
      <c r="C164" s="61" t="str">
        <f>COM_Other!B10</f>
        <v>R_ES-CK-FL_ELC01</v>
      </c>
      <c r="D164" s="61" t="str">
        <f>'Generalized Data'!$B$87&amp;" - "&amp;$C$56</f>
        <v>Cooking electric stove - Flat</v>
      </c>
      <c r="E164" s="61" t="s">
        <v>440</v>
      </c>
      <c r="F164" s="61" t="s">
        <v>31</v>
      </c>
      <c r="G164" s="61"/>
      <c r="H164" s="61"/>
    </row>
    <row r="165" spans="1:8" x14ac:dyDescent="0.2">
      <c r="A165" s="97"/>
      <c r="B165" s="61" t="s">
        <v>439</v>
      </c>
      <c r="C165" s="61" t="str">
        <f>COM_Other!B11</f>
        <v>R_ES-CK-FL_GAS01</v>
      </c>
      <c r="D165" s="61" t="str">
        <f>'Generalized Data'!$B$88&amp;" - "&amp;$C$56</f>
        <v>Cooking gas stove - Flat</v>
      </c>
      <c r="E165" s="61" t="s">
        <v>440</v>
      </c>
      <c r="F165" s="61" t="s">
        <v>31</v>
      </c>
      <c r="G165" s="61"/>
      <c r="H165" s="61"/>
    </row>
    <row r="166" spans="1:8" x14ac:dyDescent="0.2">
      <c r="A166" s="97"/>
      <c r="B166" s="61" t="s">
        <v>439</v>
      </c>
      <c r="C166" s="61" t="str">
        <f>COM_Other!B12</f>
        <v>R_ES-CK-FL_LPG01</v>
      </c>
      <c r="D166" s="61" t="str">
        <f>'Generalized Data'!$B$89&amp;" - "&amp;$C$56</f>
        <v>Cooking LPG stove - Flat</v>
      </c>
      <c r="E166" s="61" t="s">
        <v>440</v>
      </c>
      <c r="F166" s="61" t="s">
        <v>31</v>
      </c>
      <c r="G166" s="61"/>
      <c r="H166" s="61"/>
    </row>
    <row r="167" spans="1:8" x14ac:dyDescent="0.2">
      <c r="A167" s="97"/>
      <c r="B167" s="61" t="s">
        <v>439</v>
      </c>
      <c r="C167" s="61" t="str">
        <f>COM_Other!B13</f>
        <v>R_ES-CK-SD_ELC01</v>
      </c>
      <c r="D167" s="61" t="str">
        <f>'Generalized Data'!$B$87&amp;" - "&amp;$C$107</f>
        <v>Cooking electric stove - Semi-Detached</v>
      </c>
      <c r="E167" s="61" t="s">
        <v>440</v>
      </c>
      <c r="F167" s="61" t="s">
        <v>31</v>
      </c>
      <c r="G167" s="61"/>
      <c r="H167" s="61"/>
    </row>
    <row r="168" spans="1:8" x14ac:dyDescent="0.2">
      <c r="A168" s="97"/>
      <c r="B168" s="61" t="s">
        <v>439</v>
      </c>
      <c r="C168" s="61" t="str">
        <f>COM_Other!B14</f>
        <v>R_ES-CK-SD_GAS01</v>
      </c>
      <c r="D168" s="61" t="str">
        <f>'Generalized Data'!$B$88&amp;" - "&amp;$C$107</f>
        <v>Cooking gas stove - Semi-Detached</v>
      </c>
      <c r="E168" s="61" t="s">
        <v>440</v>
      </c>
      <c r="F168" s="61" t="s">
        <v>31</v>
      </c>
      <c r="G168" s="61"/>
      <c r="H168" s="61"/>
    </row>
    <row r="169" spans="1:8" x14ac:dyDescent="0.2">
      <c r="A169" s="97"/>
      <c r="B169" s="61" t="s">
        <v>439</v>
      </c>
      <c r="C169" s="61" t="str">
        <f>COM_Other!B15</f>
        <v>R_ES-CK-SD_LPG01</v>
      </c>
      <c r="D169" s="61" t="str">
        <f>'Generalized Data'!$B$89&amp;" - "&amp;$C$107</f>
        <v>Cooking LPG stove - Semi-Detached</v>
      </c>
      <c r="E169" s="61" t="s">
        <v>440</v>
      </c>
      <c r="F169" s="61" t="s">
        <v>31</v>
      </c>
      <c r="G169" s="61"/>
      <c r="H169" s="61"/>
    </row>
    <row r="170" spans="1:8" x14ac:dyDescent="0.2">
      <c r="A170" s="97"/>
      <c r="B170" s="64" t="s">
        <v>61</v>
      </c>
      <c r="C170" s="61" t="str">
        <f>COM_Other!B16</f>
        <v>RCWAELC101</v>
      </c>
      <c r="D170" s="61" t="str">
        <f>'Generalized Data'!$B$90</f>
        <v>Electric Washing Machine</v>
      </c>
      <c r="E170" s="61" t="s">
        <v>829</v>
      </c>
      <c r="F170" s="61" t="s">
        <v>830</v>
      </c>
      <c r="G170" s="61"/>
      <c r="H170" s="61"/>
    </row>
    <row r="171" spans="1:8" x14ac:dyDescent="0.2">
      <c r="A171" s="97"/>
      <c r="B171" s="64" t="s">
        <v>61</v>
      </c>
      <c r="C171" s="61" t="str">
        <f>COM_Other!B17</f>
        <v>RCWAELC201</v>
      </c>
      <c r="D171" s="61" t="str">
        <f>'Generalized Data'!$B$91</f>
        <v>Electric Washing Machine High Efficiency (AB)</v>
      </c>
      <c r="E171" s="61" t="s">
        <v>829</v>
      </c>
      <c r="F171" s="61" t="s">
        <v>830</v>
      </c>
      <c r="G171" s="61"/>
      <c r="H171" s="61"/>
    </row>
    <row r="172" spans="1:8" x14ac:dyDescent="0.2">
      <c r="A172" s="97"/>
      <c r="B172" s="64" t="s">
        <v>61</v>
      </c>
      <c r="C172" s="61" t="str">
        <f>COM_Other!B18</f>
        <v>RCWAELC301</v>
      </c>
      <c r="D172" s="61" t="str">
        <f>'Generalized Data'!$B$92</f>
        <v>Electr. Comb Washing/Drying Medium Efficiency</v>
      </c>
      <c r="E172" s="61" t="s">
        <v>829</v>
      </c>
      <c r="F172" s="61" t="s">
        <v>830</v>
      </c>
      <c r="G172" s="61"/>
      <c r="H172" s="61"/>
    </row>
    <row r="173" spans="1:8" x14ac:dyDescent="0.2">
      <c r="A173" s="97"/>
      <c r="B173" s="64" t="s">
        <v>61</v>
      </c>
      <c r="C173" s="61" t="str">
        <f>COM_Other!B19</f>
        <v>RCWAELC401</v>
      </c>
      <c r="D173" s="61" t="str">
        <f>'Generalized Data'!$B$93</f>
        <v>Elect. Comb Washing/Drying Mach High Efficiency</v>
      </c>
      <c r="E173" s="61" t="s">
        <v>829</v>
      </c>
      <c r="F173" s="61" t="s">
        <v>830</v>
      </c>
      <c r="G173" s="61"/>
      <c r="H173" s="61"/>
    </row>
    <row r="174" spans="1:8" x14ac:dyDescent="0.2">
      <c r="A174" s="97"/>
      <c r="B174" s="64" t="s">
        <v>61</v>
      </c>
      <c r="C174" s="61" t="str">
        <f>COM_Other!B20</f>
        <v>RDWAELC101</v>
      </c>
      <c r="D174" s="61" t="str">
        <f>'Generalized Data'!$B$94</f>
        <v>Dish Washer medium efficiency (D)</v>
      </c>
      <c r="E174" s="61" t="s">
        <v>829</v>
      </c>
      <c r="F174" s="61" t="s">
        <v>830</v>
      </c>
      <c r="G174" s="61"/>
      <c r="H174" s="61"/>
    </row>
    <row r="175" spans="1:8" x14ac:dyDescent="0.2">
      <c r="A175" s="97"/>
      <c r="B175" s="64" t="s">
        <v>61</v>
      </c>
      <c r="C175" s="61" t="str">
        <f>COM_Other!B21</f>
        <v>RDWAELC201</v>
      </c>
      <c r="D175" s="61" t="str">
        <f>'Generalized Data'!$B$95</f>
        <v>Dish Washer high efficiency (A+,A++)</v>
      </c>
      <c r="E175" s="61" t="s">
        <v>829</v>
      </c>
      <c r="F175" s="61" t="s">
        <v>830</v>
      </c>
      <c r="G175" s="61"/>
      <c r="H175" s="61"/>
    </row>
    <row r="176" spans="1:8" x14ac:dyDescent="0.2">
      <c r="A176" s="97"/>
      <c r="B176" s="64" t="s">
        <v>61</v>
      </c>
      <c r="C176" s="61" t="str">
        <f>COM_Other!B22</f>
        <v>RLIGELC201</v>
      </c>
      <c r="D176" s="61" t="str">
        <f>'Generalized Data'!$B$96</f>
        <v>Incandescent IMP lighting system</v>
      </c>
      <c r="E176" s="61" t="s">
        <v>829</v>
      </c>
      <c r="F176" s="61" t="s">
        <v>830</v>
      </c>
      <c r="G176" s="61"/>
      <c r="H176" s="61"/>
    </row>
    <row r="177" spans="1:9" x14ac:dyDescent="0.2">
      <c r="A177" s="97"/>
      <c r="B177" s="64" t="s">
        <v>61</v>
      </c>
      <c r="C177" s="61" t="str">
        <f>COM_Other!B23</f>
        <v>RLIGELC301</v>
      </c>
      <c r="D177" s="61" t="str">
        <f>'Generalized Data'!$B$97</f>
        <v>Halogens lighting system</v>
      </c>
      <c r="E177" s="61" t="s">
        <v>829</v>
      </c>
      <c r="F177" s="61" t="s">
        <v>830</v>
      </c>
      <c r="G177" s="61"/>
      <c r="H177" s="61"/>
    </row>
    <row r="178" spans="1:9" x14ac:dyDescent="0.2">
      <c r="A178" s="97"/>
      <c r="B178" s="64" t="s">
        <v>61</v>
      </c>
      <c r="C178" s="61" t="str">
        <f>COM_Other!B24</f>
        <v>RLIGELC401</v>
      </c>
      <c r="D178" s="61" t="str">
        <f>'Generalized Data'!$B$98</f>
        <v>Fluorescent lighting system</v>
      </c>
      <c r="E178" s="61" t="s">
        <v>829</v>
      </c>
      <c r="F178" s="61" t="s">
        <v>830</v>
      </c>
      <c r="G178" s="61"/>
      <c r="H178" s="61"/>
    </row>
    <row r="179" spans="1:9" x14ac:dyDescent="0.2">
      <c r="A179" s="97"/>
      <c r="B179" s="64" t="s">
        <v>61</v>
      </c>
      <c r="C179" s="61" t="str">
        <f>COM_Other!B25</f>
        <v>ROELELC101</v>
      </c>
      <c r="D179" s="61" t="str">
        <f>'Generalized Data'!$B$99</f>
        <v>Other Electricity Other Appliances.</v>
      </c>
      <c r="E179" s="61" t="s">
        <v>829</v>
      </c>
      <c r="F179" s="61" t="s">
        <v>830</v>
      </c>
      <c r="G179" s="61"/>
      <c r="H179" s="61"/>
    </row>
    <row r="180" spans="1:9" x14ac:dyDescent="0.2">
      <c r="A180" s="97"/>
      <c r="B180" s="64" t="s">
        <v>61</v>
      </c>
      <c r="C180" s="61" t="str">
        <f>COM_Other!B26</f>
        <v>RREFELC501</v>
      </c>
      <c r="D180" s="61" t="str">
        <f>'Generalized Data'!$B$100</f>
        <v>Refrigerator/Freezer baseline 510 lts (Ass.AB)</v>
      </c>
      <c r="E180" s="61" t="s">
        <v>829</v>
      </c>
      <c r="F180" s="61" t="s">
        <v>830</v>
      </c>
      <c r="G180" s="61"/>
      <c r="H180" s="61"/>
    </row>
    <row r="181" spans="1:9" x14ac:dyDescent="0.2">
      <c r="A181" s="97"/>
      <c r="B181" s="64" t="s">
        <v>61</v>
      </c>
      <c r="C181" s="61" t="str">
        <f>COM_Other!B27</f>
        <v>RREFELC601</v>
      </c>
      <c r="D181" s="61" t="str">
        <f>'Generalized Data'!$B$101</f>
        <v>Refrigerator/Freezer max eff 510 lts (Ass.A++)</v>
      </c>
      <c r="E181" s="61" t="s">
        <v>829</v>
      </c>
      <c r="F181" s="61" t="s">
        <v>830</v>
      </c>
      <c r="G181" s="61"/>
      <c r="H181" s="61"/>
    </row>
    <row r="182" spans="1:9" x14ac:dyDescent="0.2">
      <c r="A182" s="97"/>
    </row>
    <row r="183" spans="1:9" x14ac:dyDescent="0.2">
      <c r="A183" s="97"/>
    </row>
    <row r="184" spans="1:9" x14ac:dyDescent="0.2">
      <c r="A184" s="97"/>
    </row>
    <row r="185" spans="1:9" x14ac:dyDescent="0.2">
      <c r="A185" s="97"/>
      <c r="B185" s="62" t="s">
        <v>509</v>
      </c>
      <c r="C185" s="61"/>
      <c r="D185" s="61"/>
      <c r="E185" s="61"/>
      <c r="F185" s="61"/>
      <c r="G185" s="61"/>
      <c r="H185" s="61"/>
      <c r="I185" s="61"/>
    </row>
    <row r="186" spans="1:9" x14ac:dyDescent="0.2">
      <c r="A186" s="97"/>
      <c r="B186" s="63" t="s">
        <v>0</v>
      </c>
      <c r="C186" s="63" t="s">
        <v>1</v>
      </c>
      <c r="D186" s="63" t="s">
        <v>2</v>
      </c>
      <c r="E186" s="63" t="s">
        <v>3</v>
      </c>
      <c r="F186" s="63" t="s">
        <v>4</v>
      </c>
      <c r="G186" s="63" t="s">
        <v>5</v>
      </c>
      <c r="H186" s="63" t="s">
        <v>6</v>
      </c>
      <c r="I186" s="63" t="s">
        <v>7</v>
      </c>
    </row>
    <row r="187" spans="1:9" x14ac:dyDescent="0.2">
      <c r="A187" s="97"/>
      <c r="B187" s="64" t="s">
        <v>297</v>
      </c>
      <c r="C187" s="61" t="str">
        <f>RSD_RHDH!C39</f>
        <v>RSDHH2</v>
      </c>
      <c r="D187" s="61" t="str">
        <f>C187</f>
        <v>RSDHH2</v>
      </c>
      <c r="E187" s="64" t="s">
        <v>31</v>
      </c>
      <c r="F187" s="61"/>
      <c r="G187" s="64" t="s">
        <v>8</v>
      </c>
      <c r="H187" s="61"/>
      <c r="I187" s="61"/>
    </row>
    <row r="188" spans="1:9" x14ac:dyDescent="0.2">
      <c r="A188" s="97"/>
      <c r="B188" s="61"/>
      <c r="C188" s="61" t="s">
        <v>82</v>
      </c>
      <c r="D188" s="61" t="s">
        <v>10</v>
      </c>
      <c r="E188" s="64" t="s">
        <v>31</v>
      </c>
      <c r="F188" s="61"/>
      <c r="G188" s="61"/>
      <c r="H188" s="61"/>
      <c r="I188" s="61"/>
    </row>
    <row r="189" spans="1:9" x14ac:dyDescent="0.2">
      <c r="A189" s="97"/>
      <c r="B189" s="61"/>
      <c r="C189" s="61" t="s">
        <v>58</v>
      </c>
      <c r="D189" s="61" t="s">
        <v>60</v>
      </c>
      <c r="E189" s="64" t="s">
        <v>31</v>
      </c>
      <c r="F189" s="61"/>
      <c r="G189" s="61"/>
      <c r="H189" s="61"/>
      <c r="I189" s="61"/>
    </row>
    <row r="190" spans="1:9" x14ac:dyDescent="0.2">
      <c r="A190" s="97"/>
      <c r="B190" s="61"/>
      <c r="C190" s="61" t="s">
        <v>303</v>
      </c>
      <c r="D190" s="61" t="s">
        <v>466</v>
      </c>
      <c r="E190" s="64" t="s">
        <v>31</v>
      </c>
      <c r="F190" s="61"/>
      <c r="G190" s="61"/>
      <c r="H190" s="61"/>
      <c r="I190" s="61"/>
    </row>
    <row r="191" spans="1:9" x14ac:dyDescent="0.2">
      <c r="A191" s="97"/>
    </row>
    <row r="192" spans="1:9" x14ac:dyDescent="0.2">
      <c r="A192" s="97"/>
    </row>
    <row r="193" spans="1:8" x14ac:dyDescent="0.2">
      <c r="A193" s="97"/>
    </row>
    <row r="194" spans="1:8" x14ac:dyDescent="0.2">
      <c r="A194" s="97"/>
    </row>
    <row r="195" spans="1:8" x14ac:dyDescent="0.2">
      <c r="B195" s="92"/>
      <c r="C195" s="92"/>
      <c r="D195" s="92"/>
      <c r="E195" s="92"/>
      <c r="F195" s="92"/>
      <c r="G195" s="92"/>
      <c r="H195" s="92"/>
    </row>
    <row r="196" spans="1:8" x14ac:dyDescent="0.2">
      <c r="B196" s="92"/>
      <c r="C196" s="92"/>
      <c r="D196" s="92"/>
      <c r="E196" s="92"/>
      <c r="F196" s="92"/>
      <c r="G196" s="92"/>
      <c r="H196" s="92"/>
    </row>
    <row r="197" spans="1:8" x14ac:dyDescent="0.2">
      <c r="B197" s="92"/>
      <c r="C197" s="92"/>
      <c r="D197" s="92"/>
      <c r="E197" s="92"/>
      <c r="F197" s="92"/>
      <c r="G197" s="92"/>
      <c r="H197" s="92"/>
    </row>
    <row r="198" spans="1:8" x14ac:dyDescent="0.2">
      <c r="B198" s="92"/>
      <c r="C198" s="92"/>
      <c r="D198" s="92"/>
      <c r="E198" s="92"/>
      <c r="F198" s="92"/>
      <c r="G198" s="92"/>
      <c r="H198" s="92"/>
    </row>
    <row r="199" spans="1:8" x14ac:dyDescent="0.2">
      <c r="B199" s="92"/>
      <c r="C199" s="92"/>
      <c r="D199" s="92"/>
      <c r="E199" s="92"/>
      <c r="F199" s="92"/>
      <c r="G199" s="92"/>
      <c r="H199" s="92"/>
    </row>
    <row r="200" spans="1:8" x14ac:dyDescent="0.2">
      <c r="B200" s="92"/>
      <c r="C200" s="92"/>
      <c r="D200" s="92"/>
      <c r="E200" s="92"/>
      <c r="F200" s="92"/>
      <c r="G200" s="92"/>
      <c r="H200" s="92"/>
    </row>
    <row r="201" spans="1:8" x14ac:dyDescent="0.2">
      <c r="B201" s="92"/>
      <c r="C201" s="92"/>
      <c r="D201" s="92"/>
      <c r="E201" s="92"/>
      <c r="F201" s="92"/>
      <c r="G201" s="92"/>
      <c r="H201" s="92"/>
    </row>
    <row r="202" spans="1:8" x14ac:dyDescent="0.2">
      <c r="B202" s="92"/>
      <c r="C202" s="92"/>
      <c r="D202" s="92"/>
      <c r="E202" s="92"/>
      <c r="F202" s="92"/>
      <c r="G202" s="92"/>
      <c r="H202" s="92"/>
    </row>
    <row r="203" spans="1:8" x14ac:dyDescent="0.2">
      <c r="B203" s="92"/>
      <c r="C203" s="92"/>
      <c r="D203" s="92"/>
      <c r="E203" s="92"/>
      <c r="F203" s="92"/>
      <c r="G203" s="92"/>
      <c r="H203" s="92"/>
    </row>
    <row r="204" spans="1:8" x14ac:dyDescent="0.2">
      <c r="B204" s="92"/>
      <c r="C204" s="92"/>
      <c r="D204" s="92"/>
      <c r="E204" s="92"/>
      <c r="F204" s="92"/>
      <c r="G204" s="92"/>
      <c r="H204" s="92"/>
    </row>
    <row r="205" spans="1:8" x14ac:dyDescent="0.2">
      <c r="B205" s="92"/>
      <c r="C205" s="92"/>
      <c r="D205" s="92"/>
      <c r="E205" s="92"/>
      <c r="F205" s="92"/>
      <c r="G205" s="92"/>
      <c r="H205" s="92"/>
    </row>
    <row r="206" spans="1:8" x14ac:dyDescent="0.2">
      <c r="B206" s="92"/>
      <c r="C206" s="92"/>
      <c r="D206" s="92"/>
      <c r="E206" s="92"/>
      <c r="F206" s="92"/>
      <c r="G206" s="92"/>
      <c r="H206" s="92"/>
    </row>
    <row r="207" spans="1:8" x14ac:dyDescent="0.2">
      <c r="B207" s="92"/>
      <c r="C207" s="92"/>
      <c r="D207" s="92"/>
      <c r="E207" s="92"/>
      <c r="F207" s="92"/>
      <c r="G207" s="92"/>
      <c r="H207" s="92"/>
    </row>
    <row r="208" spans="1:8" x14ac:dyDescent="0.2">
      <c r="B208" s="92"/>
      <c r="C208" s="92"/>
      <c r="D208" s="92"/>
      <c r="E208" s="92"/>
      <c r="F208" s="92"/>
      <c r="G208" s="92"/>
      <c r="H208" s="92"/>
    </row>
    <row r="209" spans="2:8" x14ac:dyDescent="0.2">
      <c r="B209" s="92"/>
      <c r="C209" s="92"/>
      <c r="D209" s="92"/>
      <c r="E209" s="92"/>
      <c r="F209" s="92"/>
      <c r="G209" s="92"/>
      <c r="H209" s="92"/>
    </row>
    <row r="210" spans="2:8" x14ac:dyDescent="0.2">
      <c r="B210" s="92"/>
      <c r="C210" s="92"/>
      <c r="D210" s="92"/>
      <c r="E210" s="92"/>
      <c r="F210" s="92"/>
      <c r="G210" s="92"/>
      <c r="H210" s="92"/>
    </row>
    <row r="211" spans="2:8" x14ac:dyDescent="0.2">
      <c r="B211" s="92"/>
      <c r="C211" s="92"/>
      <c r="D211" s="92"/>
      <c r="E211" s="92"/>
      <c r="F211" s="92"/>
      <c r="G211" s="92"/>
      <c r="H211" s="92"/>
    </row>
    <row r="212" spans="2:8" x14ac:dyDescent="0.2">
      <c r="B212" s="92"/>
      <c r="C212" s="92"/>
      <c r="D212" s="92"/>
      <c r="E212" s="92"/>
      <c r="F212" s="92"/>
      <c r="G212" s="92"/>
      <c r="H212" s="92"/>
    </row>
    <row r="213" spans="2:8" x14ac:dyDescent="0.2">
      <c r="B213" s="92"/>
      <c r="C213" s="92"/>
      <c r="D213" s="92"/>
      <c r="E213" s="92"/>
      <c r="F213" s="92"/>
      <c r="G213" s="92"/>
      <c r="H213" s="92"/>
    </row>
    <row r="214" spans="2:8" x14ac:dyDescent="0.2">
      <c r="B214" s="92"/>
      <c r="C214" s="92"/>
      <c r="D214" s="92"/>
      <c r="E214" s="92"/>
      <c r="F214" s="92"/>
      <c r="G214" s="92"/>
      <c r="H214" s="92"/>
    </row>
    <row r="215" spans="2:8" x14ac:dyDescent="0.2">
      <c r="B215" s="92"/>
      <c r="C215" s="92"/>
      <c r="D215" s="92"/>
      <c r="E215" s="92"/>
      <c r="F215" s="92"/>
      <c r="G215" s="92"/>
      <c r="H215" s="92"/>
    </row>
    <row r="216" spans="2:8" x14ac:dyDescent="0.2">
      <c r="B216" s="92"/>
      <c r="C216" s="92"/>
      <c r="D216" s="92"/>
      <c r="E216" s="92"/>
      <c r="F216" s="92"/>
      <c r="G216" s="92"/>
      <c r="H216" s="92"/>
    </row>
    <row r="217" spans="2:8" x14ac:dyDescent="0.2">
      <c r="B217" s="92"/>
      <c r="C217" s="92"/>
      <c r="D217" s="92"/>
      <c r="E217" s="92"/>
      <c r="F217" s="92"/>
      <c r="G217" s="92"/>
      <c r="H217" s="92"/>
    </row>
    <row r="218" spans="2:8" x14ac:dyDescent="0.2">
      <c r="B218" s="92"/>
      <c r="C218" s="92"/>
      <c r="D218" s="92"/>
      <c r="E218" s="92"/>
      <c r="F218" s="92"/>
      <c r="G218" s="92"/>
      <c r="H218" s="92"/>
    </row>
    <row r="219" spans="2:8" x14ac:dyDescent="0.2">
      <c r="B219" s="92"/>
      <c r="C219" s="92"/>
      <c r="D219" s="92"/>
      <c r="E219" s="92"/>
      <c r="F219" s="92"/>
      <c r="G219" s="92"/>
      <c r="H219" s="92"/>
    </row>
    <row r="220" spans="2:8" x14ac:dyDescent="0.2">
      <c r="B220" s="92"/>
      <c r="C220" s="92"/>
      <c r="D220" s="92"/>
      <c r="E220" s="92"/>
      <c r="F220" s="92"/>
      <c r="G220" s="92"/>
      <c r="H220" s="92"/>
    </row>
    <row r="221" spans="2:8" x14ac:dyDescent="0.2">
      <c r="B221" s="92"/>
      <c r="C221" s="92"/>
      <c r="D221" s="92"/>
      <c r="E221" s="92"/>
      <c r="F221" s="92"/>
      <c r="G221" s="92"/>
      <c r="H221" s="92"/>
    </row>
    <row r="222" spans="2:8" x14ac:dyDescent="0.2">
      <c r="B222" s="92"/>
      <c r="C222" s="92"/>
      <c r="D222" s="92"/>
      <c r="E222" s="92"/>
      <c r="F222" s="92"/>
      <c r="G222" s="92"/>
      <c r="H222" s="92"/>
    </row>
    <row r="223" spans="2:8" x14ac:dyDescent="0.2">
      <c r="B223" s="92"/>
      <c r="C223" s="92"/>
      <c r="D223" s="92"/>
      <c r="E223" s="92"/>
      <c r="F223" s="92"/>
      <c r="G223" s="92"/>
      <c r="H223" s="92"/>
    </row>
    <row r="224" spans="2:8" x14ac:dyDescent="0.2">
      <c r="B224" s="92"/>
      <c r="C224" s="92"/>
      <c r="D224" s="92"/>
      <c r="E224" s="92"/>
      <c r="F224" s="92"/>
      <c r="G224" s="92"/>
      <c r="H224" s="92"/>
    </row>
    <row r="225" spans="2:8" x14ac:dyDescent="0.2">
      <c r="B225" s="92"/>
      <c r="C225" s="92"/>
      <c r="D225" s="92"/>
      <c r="E225" s="92"/>
      <c r="F225" s="92"/>
      <c r="G225" s="92"/>
      <c r="H225" s="92"/>
    </row>
    <row r="226" spans="2:8" x14ac:dyDescent="0.2">
      <c r="B226" s="92"/>
      <c r="C226" s="92"/>
      <c r="D226" s="92"/>
      <c r="E226" s="92"/>
      <c r="F226" s="92"/>
      <c r="G226" s="92"/>
      <c r="H226" s="92"/>
    </row>
    <row r="227" spans="2:8" x14ac:dyDescent="0.2">
      <c r="B227" s="92"/>
      <c r="C227" s="92"/>
      <c r="D227" s="92"/>
      <c r="E227" s="92"/>
      <c r="F227" s="92"/>
      <c r="G227" s="92"/>
      <c r="H227" s="92"/>
    </row>
    <row r="228" spans="2:8" x14ac:dyDescent="0.2">
      <c r="B228" s="92"/>
      <c r="C228" s="92"/>
      <c r="D228" s="92"/>
      <c r="E228" s="92"/>
      <c r="F228" s="92"/>
      <c r="G228" s="92"/>
      <c r="H228" s="92"/>
    </row>
    <row r="229" spans="2:8" x14ac:dyDescent="0.2">
      <c r="B229" s="92"/>
      <c r="C229" s="92"/>
      <c r="D229" s="92"/>
      <c r="E229" s="92"/>
      <c r="F229" s="92"/>
      <c r="G229" s="92"/>
      <c r="H229" s="92"/>
    </row>
    <row r="230" spans="2:8" x14ac:dyDescent="0.2">
      <c r="B230" s="92"/>
      <c r="C230" s="92"/>
      <c r="D230" s="92"/>
      <c r="E230" s="92"/>
      <c r="F230" s="92"/>
      <c r="G230" s="92"/>
      <c r="H230" s="92"/>
    </row>
    <row r="231" spans="2:8" x14ac:dyDescent="0.2">
      <c r="B231" s="92"/>
      <c r="C231" s="92"/>
      <c r="D231" s="92"/>
      <c r="E231" s="92"/>
      <c r="F231" s="92"/>
      <c r="G231" s="92"/>
      <c r="H231" s="92"/>
    </row>
    <row r="232" spans="2:8" x14ac:dyDescent="0.2">
      <c r="B232" s="92"/>
      <c r="C232" s="92"/>
      <c r="D232" s="92"/>
      <c r="E232" s="92"/>
      <c r="F232" s="92"/>
      <c r="G232" s="92"/>
      <c r="H232" s="92"/>
    </row>
    <row r="233" spans="2:8" x14ac:dyDescent="0.2">
      <c r="B233" s="92"/>
      <c r="C233" s="92"/>
      <c r="D233" s="92"/>
      <c r="E233" s="92"/>
      <c r="F233" s="92"/>
      <c r="G233" s="92"/>
      <c r="H233" s="92"/>
    </row>
    <row r="234" spans="2:8" x14ac:dyDescent="0.2">
      <c r="B234" s="92"/>
      <c r="C234" s="92"/>
      <c r="D234" s="92"/>
      <c r="E234" s="92"/>
      <c r="F234" s="92"/>
      <c r="G234" s="92"/>
      <c r="H234" s="92"/>
    </row>
    <row r="235" spans="2:8" x14ac:dyDescent="0.2">
      <c r="B235" s="92"/>
      <c r="C235" s="92"/>
      <c r="D235" s="92"/>
      <c r="E235" s="92"/>
      <c r="F235" s="92"/>
      <c r="G235" s="92"/>
      <c r="H235" s="92"/>
    </row>
    <row r="236" spans="2:8" x14ac:dyDescent="0.2">
      <c r="B236" s="92"/>
      <c r="C236" s="92"/>
      <c r="D236" s="92"/>
      <c r="E236" s="92"/>
      <c r="F236" s="92"/>
      <c r="G236" s="92"/>
      <c r="H236" s="92"/>
    </row>
    <row r="237" spans="2:8" x14ac:dyDescent="0.2">
      <c r="B237" s="92"/>
      <c r="C237" s="92"/>
      <c r="D237" s="92"/>
      <c r="E237" s="92"/>
      <c r="F237" s="92"/>
      <c r="G237" s="92"/>
      <c r="H237" s="92"/>
    </row>
    <row r="238" spans="2:8" x14ac:dyDescent="0.2">
      <c r="B238" s="92"/>
      <c r="C238" s="92"/>
      <c r="D238" s="92"/>
      <c r="E238" s="92"/>
      <c r="F238" s="92"/>
      <c r="G238" s="92"/>
      <c r="H238" s="92"/>
    </row>
    <row r="239" spans="2:8" x14ac:dyDescent="0.2">
      <c r="B239" s="92"/>
      <c r="C239" s="92"/>
      <c r="D239" s="92"/>
      <c r="E239" s="92"/>
      <c r="F239" s="92"/>
      <c r="G239" s="92"/>
      <c r="H239" s="92"/>
    </row>
    <row r="240" spans="2:8" x14ac:dyDescent="0.2">
      <c r="B240" s="92"/>
      <c r="C240" s="92"/>
      <c r="D240" s="92"/>
      <c r="E240" s="92"/>
      <c r="F240" s="92"/>
      <c r="G240" s="92"/>
      <c r="H240" s="92"/>
    </row>
    <row r="241" spans="2:8" x14ac:dyDescent="0.2">
      <c r="B241" s="92"/>
      <c r="C241" s="92"/>
      <c r="D241" s="92"/>
      <c r="E241" s="92"/>
      <c r="F241" s="92"/>
      <c r="G241" s="92"/>
      <c r="H241" s="92"/>
    </row>
    <row r="242" spans="2:8" x14ac:dyDescent="0.2">
      <c r="B242" s="92"/>
      <c r="C242" s="92"/>
      <c r="D242" s="92"/>
      <c r="E242" s="92"/>
      <c r="F242" s="92"/>
      <c r="G242" s="92"/>
      <c r="H242" s="92"/>
    </row>
    <row r="243" spans="2:8" x14ac:dyDescent="0.2">
      <c r="B243" s="92"/>
      <c r="C243" s="92"/>
      <c r="D243" s="92"/>
      <c r="E243" s="92"/>
      <c r="F243" s="92"/>
      <c r="G243" s="92"/>
      <c r="H243" s="92"/>
    </row>
    <row r="244" spans="2:8" x14ac:dyDescent="0.2">
      <c r="B244" s="92"/>
      <c r="C244" s="92"/>
      <c r="D244" s="92"/>
      <c r="E244" s="92"/>
      <c r="F244" s="92"/>
      <c r="G244" s="92"/>
      <c r="H244" s="92"/>
    </row>
    <row r="245" spans="2:8" x14ac:dyDescent="0.2">
      <c r="B245" s="92"/>
      <c r="C245" s="92"/>
      <c r="D245" s="92"/>
      <c r="E245" s="92"/>
      <c r="F245" s="92"/>
      <c r="G245" s="92"/>
      <c r="H245" s="92"/>
    </row>
    <row r="246" spans="2:8" x14ac:dyDescent="0.2">
      <c r="B246" s="92"/>
      <c r="C246" s="92"/>
      <c r="D246" s="92"/>
      <c r="E246" s="92"/>
      <c r="F246" s="92"/>
      <c r="G246" s="92"/>
      <c r="H246" s="92"/>
    </row>
    <row r="247" spans="2:8" x14ac:dyDescent="0.2">
      <c r="B247" s="92"/>
      <c r="C247" s="92"/>
      <c r="D247" s="92"/>
      <c r="E247" s="92"/>
      <c r="F247" s="92"/>
      <c r="G247" s="92"/>
      <c r="H247" s="92"/>
    </row>
    <row r="248" spans="2:8" x14ac:dyDescent="0.2">
      <c r="B248" s="92"/>
      <c r="C248" s="92"/>
      <c r="D248" s="92"/>
      <c r="E248" s="92"/>
      <c r="F248" s="92"/>
      <c r="G248" s="92"/>
      <c r="H248" s="92"/>
    </row>
    <row r="249" spans="2:8" x14ac:dyDescent="0.2">
      <c r="B249" s="92"/>
      <c r="C249" s="92"/>
      <c r="D249" s="92"/>
      <c r="E249" s="92"/>
      <c r="F249" s="92"/>
      <c r="G249" s="92"/>
      <c r="H249" s="92"/>
    </row>
    <row r="250" spans="2:8" x14ac:dyDescent="0.2">
      <c r="B250" s="92"/>
      <c r="C250" s="92"/>
      <c r="D250" s="92"/>
      <c r="E250" s="92"/>
      <c r="F250" s="92"/>
      <c r="G250" s="92"/>
      <c r="H250" s="92"/>
    </row>
    <row r="251" spans="2:8" x14ac:dyDescent="0.2">
      <c r="B251" s="92"/>
      <c r="C251" s="92"/>
      <c r="D251" s="92"/>
      <c r="E251" s="92"/>
      <c r="F251" s="92"/>
      <c r="G251" s="92"/>
      <c r="H251" s="92"/>
    </row>
    <row r="525" spans="2:32" x14ac:dyDescent="0.2">
      <c r="B525" s="2"/>
      <c r="C525" s="3"/>
      <c r="D525" s="4"/>
      <c r="E525" s="5"/>
      <c r="F525" s="2"/>
      <c r="AF525" s="5"/>
    </row>
    <row r="526" spans="2:32" x14ac:dyDescent="0.2">
      <c r="B526" s="2"/>
      <c r="C526" s="3"/>
      <c r="D526" s="4"/>
      <c r="E526" s="5"/>
      <c r="F526" s="2"/>
      <c r="AF526" s="5"/>
    </row>
    <row r="527" spans="2:32" x14ac:dyDescent="0.2">
      <c r="B527" s="2"/>
      <c r="C527" s="3"/>
      <c r="D527" s="4"/>
      <c r="E527" s="5"/>
      <c r="F527" s="2"/>
      <c r="AF527" s="5"/>
    </row>
    <row r="528" spans="2:32" x14ac:dyDescent="0.2">
      <c r="B528" s="2"/>
      <c r="C528" s="3"/>
      <c r="D528" s="4"/>
      <c r="E528" s="5"/>
      <c r="F528" s="2"/>
      <c r="AF528" s="5"/>
    </row>
    <row r="529" spans="2:32" x14ac:dyDescent="0.2">
      <c r="B529" s="2"/>
      <c r="C529" s="3"/>
      <c r="D529" s="4"/>
      <c r="E529" s="5"/>
      <c r="F529" s="2"/>
      <c r="AF529" s="5"/>
    </row>
    <row r="530" spans="2:32" x14ac:dyDescent="0.2">
      <c r="B530" s="2"/>
      <c r="C530" s="3"/>
      <c r="D530" s="4"/>
      <c r="E530" s="5"/>
      <c r="F530" s="2"/>
      <c r="AF530" s="5"/>
    </row>
    <row r="531" spans="2:32" x14ac:dyDescent="0.2">
      <c r="B531" s="2"/>
      <c r="C531" s="3"/>
      <c r="D531" s="4"/>
      <c r="E531" s="5"/>
      <c r="F531" s="2"/>
      <c r="AF531" s="5"/>
    </row>
    <row r="532" spans="2:32" x14ac:dyDescent="0.2">
      <c r="B532" s="2"/>
      <c r="C532" s="3"/>
      <c r="D532" s="4"/>
      <c r="E532" s="5"/>
      <c r="F532" s="2"/>
      <c r="AF532" s="5"/>
    </row>
    <row r="533" spans="2:32" x14ac:dyDescent="0.2">
      <c r="B533" s="2"/>
      <c r="C533" s="3"/>
      <c r="D533" s="4"/>
      <c r="E533" s="5"/>
      <c r="F533" s="2"/>
      <c r="AF533" s="5"/>
    </row>
    <row r="534" spans="2:32" x14ac:dyDescent="0.2">
      <c r="B534" s="2"/>
      <c r="C534" s="3"/>
      <c r="D534" s="4"/>
      <c r="E534" s="5"/>
      <c r="F534" s="2"/>
      <c r="AF534" s="5"/>
    </row>
    <row r="535" spans="2:32" x14ac:dyDescent="0.2">
      <c r="B535" s="2"/>
      <c r="C535" s="3"/>
      <c r="D535" s="4"/>
      <c r="E535" s="5"/>
      <c r="F535" s="2"/>
      <c r="AF535" s="5"/>
    </row>
    <row r="536" spans="2:32" x14ac:dyDescent="0.2">
      <c r="B536" s="2"/>
      <c r="C536" s="3"/>
      <c r="D536" s="4"/>
      <c r="E536" s="5"/>
      <c r="F536" s="2"/>
      <c r="AF536" s="5"/>
    </row>
    <row r="537" spans="2:32" x14ac:dyDescent="0.2">
      <c r="B537" s="2"/>
      <c r="C537" s="3"/>
      <c r="D537" s="4"/>
      <c r="E537" s="5"/>
      <c r="F537" s="2"/>
      <c r="AF537" s="5"/>
    </row>
    <row r="538" spans="2:32" x14ac:dyDescent="0.2">
      <c r="B538" s="2"/>
      <c r="C538" s="3"/>
      <c r="D538" s="4"/>
      <c r="E538" s="5"/>
      <c r="F538" s="2"/>
      <c r="AF538" s="5"/>
    </row>
    <row r="539" spans="2:32" x14ac:dyDescent="0.2">
      <c r="B539" s="2"/>
      <c r="C539" s="3"/>
      <c r="D539" s="4"/>
      <c r="E539" s="5"/>
      <c r="F539" s="2"/>
      <c r="AF539" s="5"/>
    </row>
    <row r="540" spans="2:32" x14ac:dyDescent="0.2">
      <c r="B540" s="2"/>
      <c r="C540" s="3"/>
      <c r="D540" s="4"/>
      <c r="E540" s="5"/>
      <c r="F540" s="2"/>
      <c r="AF540" s="5"/>
    </row>
    <row r="541" spans="2:32" x14ac:dyDescent="0.2">
      <c r="B541" s="2"/>
      <c r="C541" s="3"/>
      <c r="D541" s="4"/>
      <c r="E541" s="5"/>
      <c r="F541" s="2"/>
      <c r="AF541" s="5"/>
    </row>
    <row r="542" spans="2:32" x14ac:dyDescent="0.2">
      <c r="B542" s="2"/>
      <c r="C542" s="3"/>
      <c r="D542" s="4"/>
      <c r="E542" s="5"/>
      <c r="F542" s="2"/>
      <c r="AF542" s="5"/>
    </row>
    <row r="543" spans="2:32" x14ac:dyDescent="0.2">
      <c r="B543" s="2"/>
      <c r="C543" s="3"/>
      <c r="D543" s="4"/>
      <c r="E543" s="5"/>
      <c r="F543" s="2"/>
      <c r="AF543" s="5"/>
    </row>
    <row r="544" spans="2:32" x14ac:dyDescent="0.2">
      <c r="B544" s="2"/>
      <c r="C544" s="3"/>
      <c r="D544" s="4"/>
      <c r="E544" s="5"/>
      <c r="F544" s="2"/>
      <c r="AF544" s="5"/>
    </row>
    <row r="545" spans="2:32" x14ac:dyDescent="0.2">
      <c r="B545" s="2"/>
      <c r="C545" s="3"/>
      <c r="D545" s="4"/>
      <c r="E545" s="5"/>
      <c r="F545" s="2"/>
      <c r="AF545" s="5"/>
    </row>
    <row r="546" spans="2:32" x14ac:dyDescent="0.2">
      <c r="B546" s="2"/>
      <c r="C546" s="3"/>
      <c r="D546" s="4"/>
      <c r="E546" s="5"/>
      <c r="F546" s="2"/>
      <c r="AF546" s="5"/>
    </row>
    <row r="547" spans="2:32" x14ac:dyDescent="0.2">
      <c r="B547" s="2"/>
      <c r="C547" s="3"/>
      <c r="D547" s="4"/>
      <c r="E547" s="5"/>
      <c r="F547" s="2"/>
      <c r="AF547" s="5"/>
    </row>
    <row r="548" spans="2:32" x14ac:dyDescent="0.2">
      <c r="B548" s="2"/>
      <c r="C548" s="3"/>
      <c r="D548" s="4"/>
      <c r="E548" s="5"/>
      <c r="F548" s="2"/>
      <c r="AF548" s="5"/>
    </row>
    <row r="549" spans="2:32" x14ac:dyDescent="0.2">
      <c r="B549" s="2"/>
      <c r="C549" s="3"/>
      <c r="D549" s="4"/>
      <c r="E549" s="5"/>
      <c r="F549" s="2"/>
      <c r="AF549" s="5"/>
    </row>
    <row r="550" spans="2:32" x14ac:dyDescent="0.2">
      <c r="B550" s="2"/>
      <c r="C550" s="3"/>
      <c r="D550" s="4"/>
      <c r="E550" s="5"/>
      <c r="F550" s="2"/>
      <c r="AF550" s="5"/>
    </row>
    <row r="551" spans="2:32" x14ac:dyDescent="0.2">
      <c r="B551" s="2"/>
      <c r="C551" s="3"/>
      <c r="D551" s="4"/>
      <c r="E551" s="5"/>
      <c r="F551" s="2"/>
      <c r="AF551" s="5"/>
    </row>
    <row r="552" spans="2:32" x14ac:dyDescent="0.2">
      <c r="B552" s="2"/>
      <c r="C552" s="3"/>
      <c r="D552" s="4"/>
      <c r="E552" s="5"/>
      <c r="F552" s="2"/>
      <c r="AF552" s="5"/>
    </row>
    <row r="553" spans="2:32" x14ac:dyDescent="0.2">
      <c r="B553" s="2"/>
      <c r="C553" s="3"/>
      <c r="D553" s="4"/>
      <c r="E553" s="5"/>
      <c r="F553" s="2"/>
      <c r="AF553" s="5"/>
    </row>
    <row r="554" spans="2:32" x14ac:dyDescent="0.2">
      <c r="B554" s="2"/>
      <c r="C554" s="3"/>
      <c r="D554" s="4"/>
      <c r="E554" s="5"/>
      <c r="F554" s="2"/>
      <c r="AF554" s="5"/>
    </row>
    <row r="555" spans="2:32" x14ac:dyDescent="0.2">
      <c r="B555" s="2"/>
      <c r="C555" s="3"/>
      <c r="D555" s="4"/>
      <c r="E555" s="5"/>
      <c r="F555" s="2"/>
      <c r="AF555" s="5"/>
    </row>
    <row r="556" spans="2:32" x14ac:dyDescent="0.2">
      <c r="B556" s="2"/>
      <c r="C556" s="3"/>
      <c r="D556" s="4"/>
      <c r="E556" s="5"/>
      <c r="F556" s="2"/>
      <c r="AF556" s="5"/>
    </row>
    <row r="557" spans="2:32" x14ac:dyDescent="0.2">
      <c r="B557" s="2"/>
      <c r="C557" s="3"/>
      <c r="D557" s="4"/>
      <c r="E557" s="5"/>
      <c r="F557" s="2"/>
      <c r="AF557" s="5"/>
    </row>
    <row r="558" spans="2:32" x14ac:dyDescent="0.2">
      <c r="B558" s="2"/>
      <c r="C558" s="3"/>
      <c r="D558" s="4"/>
      <c r="E558" s="5"/>
      <c r="F558" s="2"/>
      <c r="AF558" s="5"/>
    </row>
    <row r="559" spans="2:32" x14ac:dyDescent="0.2">
      <c r="B559" s="2"/>
      <c r="C559" s="3"/>
      <c r="D559" s="4"/>
      <c r="E559" s="5"/>
      <c r="F559" s="2"/>
      <c r="AF559" s="5"/>
    </row>
    <row r="560" spans="2:32" x14ac:dyDescent="0.2">
      <c r="B560" s="2"/>
      <c r="C560" s="3"/>
      <c r="D560" s="4"/>
      <c r="E560" s="5"/>
      <c r="F560" s="2"/>
      <c r="AF560" s="5"/>
    </row>
    <row r="561" spans="2:32" x14ac:dyDescent="0.2">
      <c r="B561" s="2"/>
      <c r="C561" s="3"/>
      <c r="D561" s="4"/>
      <c r="E561" s="5"/>
      <c r="F561" s="2"/>
      <c r="AF561" s="5"/>
    </row>
    <row r="562" spans="2:32" x14ac:dyDescent="0.2">
      <c r="B562" s="2"/>
      <c r="C562" s="3"/>
      <c r="D562" s="4"/>
      <c r="E562" s="5"/>
      <c r="F562" s="2"/>
      <c r="AF562" s="5"/>
    </row>
    <row r="563" spans="2:32" x14ac:dyDescent="0.2">
      <c r="B563" s="2"/>
      <c r="C563" s="3"/>
      <c r="D563" s="4"/>
      <c r="E563" s="5"/>
      <c r="F563" s="2"/>
      <c r="AF563" s="5"/>
    </row>
    <row r="564" spans="2:32" x14ac:dyDescent="0.2">
      <c r="B564" s="2"/>
      <c r="C564" s="3"/>
      <c r="D564" s="4"/>
      <c r="E564" s="5"/>
      <c r="F564" s="2"/>
      <c r="AF564" s="5"/>
    </row>
    <row r="565" spans="2:32" x14ac:dyDescent="0.2">
      <c r="B565" s="2"/>
      <c r="C565" s="3"/>
      <c r="D565" s="4"/>
      <c r="E565" s="5"/>
      <c r="F565" s="2"/>
      <c r="AF565" s="5"/>
    </row>
    <row r="566" spans="2:32" x14ac:dyDescent="0.2">
      <c r="B566" s="2"/>
      <c r="C566" s="3"/>
      <c r="D566" s="4"/>
      <c r="E566" s="5"/>
      <c r="F566" s="2"/>
      <c r="AF566" s="5"/>
    </row>
    <row r="567" spans="2:32" x14ac:dyDescent="0.2">
      <c r="B567" s="2"/>
      <c r="C567" s="3"/>
      <c r="D567" s="4"/>
      <c r="E567" s="5"/>
      <c r="F567" s="2"/>
      <c r="AF567" s="5"/>
    </row>
    <row r="568" spans="2:32" x14ac:dyDescent="0.2">
      <c r="B568" s="2"/>
      <c r="C568" s="3"/>
      <c r="D568" s="4"/>
      <c r="E568" s="5"/>
      <c r="F568" s="2"/>
      <c r="AF568" s="5"/>
    </row>
    <row r="569" spans="2:32" x14ac:dyDescent="0.2">
      <c r="B569" s="2"/>
      <c r="C569" s="3"/>
      <c r="D569" s="4"/>
      <c r="E569" s="5"/>
      <c r="F569" s="2"/>
      <c r="AF569" s="5"/>
    </row>
  </sheetData>
  <phoneticPr fontId="13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AT164"/>
  <sheetViews>
    <sheetView zoomScale="85" zoomScaleNormal="85" workbookViewId="0">
      <pane xSplit="2" ySplit="2" topLeftCell="C3" activePane="bottomRight" state="frozen"/>
      <selection activeCell="B6" sqref="B6"/>
      <selection pane="topRight" activeCell="B6" sqref="B6"/>
      <selection pane="bottomLeft" activeCell="B6" sqref="B6"/>
      <selection pane="bottomRight" activeCell="L8" sqref="L8"/>
    </sheetView>
  </sheetViews>
  <sheetFormatPr defaultRowHeight="14.25" x14ac:dyDescent="0.2"/>
  <cols>
    <col min="1" max="1" width="11.7109375" style="165" customWidth="1"/>
    <col min="2" max="2" width="30" style="165" customWidth="1"/>
    <col min="3" max="3" width="55.140625" style="165" customWidth="1"/>
    <col min="4" max="4" width="8.85546875" style="165" customWidth="1"/>
    <col min="5" max="5" width="75.5703125" style="165" hidden="1" customWidth="1"/>
    <col min="6" max="6" width="25.140625" style="165" customWidth="1"/>
    <col min="7" max="7" width="8.7109375" style="165" customWidth="1"/>
    <col min="8" max="8" width="46.85546875" style="165" customWidth="1"/>
    <col min="9" max="9" width="19.28515625" style="165" hidden="1" customWidth="1"/>
    <col min="10" max="10" width="48" style="165" hidden="1" customWidth="1"/>
    <col min="11" max="16" width="11.85546875" style="165" customWidth="1"/>
    <col min="17" max="18" width="9" style="165" customWidth="1"/>
    <col min="19" max="23" width="7.28515625" style="165" customWidth="1"/>
    <col min="24" max="26" width="7.140625" style="165" customWidth="1"/>
    <col min="27" max="33" width="7.140625" style="171" customWidth="1"/>
    <col min="34" max="34" width="7.140625" style="165" customWidth="1"/>
    <col min="35" max="37" width="7.7109375" style="165" customWidth="1"/>
    <col min="38" max="39" width="9.85546875" style="165" customWidth="1"/>
    <col min="40" max="40" width="7.85546875" style="165" customWidth="1"/>
    <col min="41" max="43" width="9.85546875" style="165" customWidth="1"/>
    <col min="44" max="45" width="10.140625" style="165" customWidth="1"/>
    <col min="46" max="46" width="53.28515625" style="165" customWidth="1"/>
    <col min="47" max="16384" width="9.140625" style="165"/>
  </cols>
  <sheetData>
    <row r="1" spans="1:46" ht="20.25" x14ac:dyDescent="0.3">
      <c r="A1" s="164" t="s">
        <v>530</v>
      </c>
      <c r="B1" s="164"/>
      <c r="C1" s="164"/>
      <c r="D1" s="164"/>
      <c r="H1" s="145"/>
      <c r="L1" s="166"/>
    </row>
    <row r="2" spans="1:46" s="168" customFormat="1" ht="28.5" customHeight="1" x14ac:dyDescent="0.2">
      <c r="A2" s="289" t="s">
        <v>531</v>
      </c>
      <c r="B2" s="289" t="s">
        <v>532</v>
      </c>
      <c r="C2" s="289" t="s">
        <v>533</v>
      </c>
      <c r="D2" s="289" t="s">
        <v>534</v>
      </c>
      <c r="E2" s="289" t="s">
        <v>535</v>
      </c>
      <c r="F2" s="290" t="s">
        <v>301</v>
      </c>
      <c r="G2" s="290" t="s">
        <v>536</v>
      </c>
      <c r="H2" s="290" t="s">
        <v>537</v>
      </c>
      <c r="I2" s="290" t="s">
        <v>538</v>
      </c>
      <c r="J2" s="290" t="s">
        <v>539</v>
      </c>
      <c r="K2" s="291" t="s">
        <v>216</v>
      </c>
      <c r="L2" s="214" t="s">
        <v>807</v>
      </c>
      <c r="M2" s="214" t="s">
        <v>387</v>
      </c>
      <c r="N2" s="214" t="s">
        <v>540</v>
      </c>
      <c r="O2" s="214" t="s">
        <v>541</v>
      </c>
      <c r="P2" s="214" t="s">
        <v>364</v>
      </c>
      <c r="Q2" s="214" t="s">
        <v>808</v>
      </c>
      <c r="R2" s="214" t="s">
        <v>809</v>
      </c>
      <c r="S2" s="291" t="s">
        <v>258</v>
      </c>
      <c r="T2" s="291" t="s">
        <v>542</v>
      </c>
      <c r="U2" s="291" t="s">
        <v>543</v>
      </c>
      <c r="V2" s="291" t="s">
        <v>544</v>
      </c>
      <c r="W2" s="291" t="s">
        <v>545</v>
      </c>
      <c r="X2" s="291" t="s">
        <v>546</v>
      </c>
      <c r="Y2" s="291" t="s">
        <v>547</v>
      </c>
      <c r="Z2" s="291" t="s">
        <v>548</v>
      </c>
      <c r="AA2" s="291" t="s">
        <v>549</v>
      </c>
      <c r="AB2" s="291" t="s">
        <v>550</v>
      </c>
      <c r="AC2" s="291" t="s">
        <v>551</v>
      </c>
      <c r="AD2" s="291" t="s">
        <v>292</v>
      </c>
      <c r="AE2" s="291" t="s">
        <v>552</v>
      </c>
      <c r="AF2" s="291" t="s">
        <v>553</v>
      </c>
      <c r="AG2" s="291" t="s">
        <v>554</v>
      </c>
      <c r="AH2" s="291" t="s">
        <v>389</v>
      </c>
      <c r="AI2" s="291" t="s">
        <v>555</v>
      </c>
      <c r="AJ2" s="291" t="s">
        <v>556</v>
      </c>
      <c r="AK2" s="291" t="s">
        <v>557</v>
      </c>
      <c r="AL2" s="291" t="s">
        <v>558</v>
      </c>
      <c r="AM2" s="291" t="s">
        <v>559</v>
      </c>
      <c r="AN2" s="291" t="s">
        <v>560</v>
      </c>
      <c r="AO2" s="292" t="s">
        <v>561</v>
      </c>
      <c r="AP2" s="292" t="s">
        <v>562</v>
      </c>
      <c r="AQ2" s="293" t="s">
        <v>563</v>
      </c>
      <c r="AR2" s="291" t="s">
        <v>564</v>
      </c>
      <c r="AS2" s="291" t="s">
        <v>565</v>
      </c>
      <c r="AT2" s="200"/>
    </row>
    <row r="3" spans="1:46" x14ac:dyDescent="0.2">
      <c r="A3" s="199" t="s">
        <v>566</v>
      </c>
      <c r="B3" s="199"/>
      <c r="C3" s="199"/>
      <c r="D3" s="199"/>
      <c r="E3" s="167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201"/>
      <c r="AS3" s="201"/>
      <c r="AT3" s="201"/>
    </row>
    <row r="4" spans="1:46" x14ac:dyDescent="0.2">
      <c r="A4" s="200" t="s">
        <v>567</v>
      </c>
      <c r="B4" s="201" t="s">
        <v>568</v>
      </c>
      <c r="C4" s="200" t="s">
        <v>569</v>
      </c>
      <c r="D4" s="200" t="s">
        <v>436</v>
      </c>
      <c r="E4" s="169" t="s">
        <v>766</v>
      </c>
      <c r="F4" s="201" t="s">
        <v>570</v>
      </c>
      <c r="G4" s="201"/>
      <c r="H4" s="201" t="s">
        <v>571</v>
      </c>
      <c r="I4" s="201" t="s">
        <v>572</v>
      </c>
      <c r="J4" s="201" t="s">
        <v>573</v>
      </c>
      <c r="K4" s="215">
        <v>20</v>
      </c>
      <c r="L4" s="216">
        <v>5527</v>
      </c>
      <c r="M4" s="216">
        <v>5527</v>
      </c>
      <c r="N4" s="216">
        <v>5527</v>
      </c>
      <c r="O4" s="216">
        <v>5527</v>
      </c>
      <c r="P4" s="216">
        <v>5527</v>
      </c>
      <c r="Q4" s="216">
        <v>185</v>
      </c>
      <c r="R4" s="216"/>
      <c r="S4" s="217">
        <v>0.84595205954248598</v>
      </c>
      <c r="T4" s="217">
        <v>0.84595205954248598</v>
      </c>
      <c r="U4" s="217">
        <v>0.84595205954248598</v>
      </c>
      <c r="V4" s="217">
        <v>0.84595205954248598</v>
      </c>
      <c r="W4" s="217">
        <v>0.84595205954248598</v>
      </c>
      <c r="X4" s="201"/>
      <c r="Y4" s="217"/>
      <c r="Z4" s="217"/>
      <c r="AA4" s="231"/>
      <c r="AB4" s="231"/>
      <c r="AC4" s="231"/>
      <c r="AD4" s="228"/>
      <c r="AE4" s="172">
        <v>1</v>
      </c>
      <c r="AF4" s="231">
        <v>1</v>
      </c>
      <c r="AG4" s="203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</row>
    <row r="5" spans="1:46" x14ac:dyDescent="0.2">
      <c r="A5" s="201" t="s">
        <v>567</v>
      </c>
      <c r="B5" s="201" t="s">
        <v>574</v>
      </c>
      <c r="C5" s="200" t="s">
        <v>575</v>
      </c>
      <c r="D5" s="200" t="s">
        <v>436</v>
      </c>
      <c r="E5" s="169" t="str">
        <f>E4</f>
        <v>HOB-oil</v>
      </c>
      <c r="F5" s="201" t="s">
        <v>570</v>
      </c>
      <c r="G5" s="201"/>
      <c r="H5" s="201" t="s">
        <v>571</v>
      </c>
      <c r="I5" s="200" t="s">
        <v>576</v>
      </c>
      <c r="J5" s="200" t="s">
        <v>577</v>
      </c>
      <c r="K5" s="218">
        <v>20</v>
      </c>
      <c r="L5" s="219">
        <f t="shared" ref="L5:W5" si="0">L4</f>
        <v>5527</v>
      </c>
      <c r="M5" s="219">
        <f t="shared" si="0"/>
        <v>5527</v>
      </c>
      <c r="N5" s="219">
        <f t="shared" si="0"/>
        <v>5527</v>
      </c>
      <c r="O5" s="219">
        <f t="shared" si="0"/>
        <v>5527</v>
      </c>
      <c r="P5" s="219">
        <f t="shared" si="0"/>
        <v>5527</v>
      </c>
      <c r="Q5" s="219">
        <f t="shared" si="0"/>
        <v>185</v>
      </c>
      <c r="R5" s="219"/>
      <c r="S5" s="217">
        <f t="shared" si="0"/>
        <v>0.84595205954248598</v>
      </c>
      <c r="T5" s="217">
        <f t="shared" si="0"/>
        <v>0.84595205954248598</v>
      </c>
      <c r="U5" s="217">
        <f t="shared" si="0"/>
        <v>0.84595205954248598</v>
      </c>
      <c r="V5" s="217">
        <f t="shared" si="0"/>
        <v>0.84595205954248598</v>
      </c>
      <c r="W5" s="217">
        <f t="shared" si="0"/>
        <v>0.84595205954248598</v>
      </c>
      <c r="X5" s="201"/>
      <c r="Y5" s="200"/>
      <c r="Z5" s="200"/>
      <c r="AA5" s="207"/>
      <c r="AB5" s="207"/>
      <c r="AC5" s="207"/>
      <c r="AD5" s="264"/>
      <c r="AE5" s="231"/>
      <c r="AF5" s="231"/>
      <c r="AG5" s="207"/>
      <c r="AH5" s="200"/>
      <c r="AI5" s="200"/>
      <c r="AJ5" s="200"/>
      <c r="AK5" s="200"/>
      <c r="AL5" s="200"/>
      <c r="AM5" s="200"/>
      <c r="AN5" s="200"/>
      <c r="AO5" s="201"/>
      <c r="AP5" s="201"/>
      <c r="AQ5" s="201"/>
      <c r="AR5" s="201"/>
      <c r="AS5" s="201"/>
      <c r="AT5" s="201"/>
    </row>
    <row r="6" spans="1:46" x14ac:dyDescent="0.2">
      <c r="A6" s="202" t="s">
        <v>799</v>
      </c>
      <c r="B6" s="201" t="str">
        <f>B5&amp;"-"&amp;RIGHT(F6,3)&amp;"spl"</f>
        <v>R_ES-SH-DH_OIL02-SOLspl</v>
      </c>
      <c r="C6" s="203" t="s">
        <v>578</v>
      </c>
      <c r="D6" s="203" t="s">
        <v>436</v>
      </c>
      <c r="E6" s="169" t="s">
        <v>767</v>
      </c>
      <c r="F6" s="201" t="s">
        <v>86</v>
      </c>
      <c r="G6" s="201"/>
      <c r="H6" s="201" t="s">
        <v>571</v>
      </c>
      <c r="I6" s="200"/>
      <c r="J6" s="200"/>
      <c r="K6" s="218">
        <v>20</v>
      </c>
      <c r="L6" s="219">
        <v>6294</v>
      </c>
      <c r="M6" s="219">
        <v>6000.36</v>
      </c>
      <c r="N6" s="219">
        <v>5755.66</v>
      </c>
      <c r="O6" s="219">
        <v>4678.9799999999996</v>
      </c>
      <c r="P6" s="219">
        <v>4678.9799999999996</v>
      </c>
      <c r="Q6" s="219">
        <v>115</v>
      </c>
      <c r="R6" s="200"/>
      <c r="S6" s="170">
        <v>1</v>
      </c>
      <c r="T6" s="170"/>
      <c r="U6" s="170"/>
      <c r="V6" s="170"/>
      <c r="W6" s="170"/>
      <c r="X6" s="201"/>
      <c r="Y6" s="200"/>
      <c r="Z6" s="200"/>
      <c r="AA6" s="207"/>
      <c r="AB6" s="207"/>
      <c r="AC6" s="207"/>
      <c r="AD6" s="264"/>
      <c r="AE6" s="172">
        <v>0.15</v>
      </c>
      <c r="AF6" s="231">
        <v>0.15</v>
      </c>
      <c r="AG6" s="207"/>
      <c r="AH6" s="200"/>
      <c r="AI6" s="200"/>
      <c r="AJ6" s="200"/>
      <c r="AK6" s="200"/>
      <c r="AL6" s="200"/>
      <c r="AM6" s="200"/>
      <c r="AN6" s="200"/>
      <c r="AO6" s="201" t="s">
        <v>579</v>
      </c>
      <c r="AP6" s="201"/>
      <c r="AQ6" s="201" t="s">
        <v>580</v>
      </c>
      <c r="AR6" s="201"/>
      <c r="AS6" s="201"/>
      <c r="AT6" s="201"/>
    </row>
    <row r="7" spans="1:46" x14ac:dyDescent="0.2">
      <c r="A7" s="202" t="s">
        <v>799</v>
      </c>
      <c r="B7" s="201" t="str">
        <f>B5&amp;"-"&amp;RIGHT(F7,3)&amp;"spl"</f>
        <v>R_ES-SH-DH_OIL02-BIOspl</v>
      </c>
      <c r="C7" s="203" t="s">
        <v>581</v>
      </c>
      <c r="D7" s="203" t="s">
        <v>436</v>
      </c>
      <c r="E7" s="169" t="s">
        <v>768</v>
      </c>
      <c r="F7" s="201" t="s">
        <v>79</v>
      </c>
      <c r="G7" s="201"/>
      <c r="H7" s="201" t="s">
        <v>399</v>
      </c>
      <c r="I7" s="200"/>
      <c r="J7" s="200"/>
      <c r="K7" s="218">
        <v>20</v>
      </c>
      <c r="L7" s="220">
        <v>4200</v>
      </c>
      <c r="M7" s="220">
        <v>4200</v>
      </c>
      <c r="N7" s="220">
        <v>5100</v>
      </c>
      <c r="O7" s="220">
        <v>5100</v>
      </c>
      <c r="P7" s="220">
        <v>5100</v>
      </c>
      <c r="Q7" s="220">
        <v>1</v>
      </c>
      <c r="R7" s="203"/>
      <c r="S7" s="172">
        <v>0.65</v>
      </c>
      <c r="T7" s="172">
        <v>0.7</v>
      </c>
      <c r="U7" s="172">
        <v>0.75</v>
      </c>
      <c r="V7" s="172">
        <v>0.75</v>
      </c>
      <c r="W7" s="172">
        <v>0.75</v>
      </c>
      <c r="X7" s="201"/>
      <c r="Y7" s="200"/>
      <c r="Z7" s="200"/>
      <c r="AA7" s="207"/>
      <c r="AB7" s="207"/>
      <c r="AC7" s="207"/>
      <c r="AD7" s="264"/>
      <c r="AE7" s="172">
        <v>0.4</v>
      </c>
      <c r="AF7" s="231"/>
      <c r="AG7" s="207"/>
      <c r="AH7" s="200"/>
      <c r="AI7" s="200"/>
      <c r="AJ7" s="200"/>
      <c r="AK7" s="200"/>
      <c r="AL7" s="200"/>
      <c r="AM7" s="200"/>
      <c r="AN7" s="200"/>
      <c r="AO7" s="205" t="s">
        <v>579</v>
      </c>
      <c r="AP7" s="205"/>
      <c r="AQ7" s="205" t="s">
        <v>582</v>
      </c>
      <c r="AR7" s="201"/>
      <c r="AS7" s="201"/>
      <c r="AT7" s="201"/>
    </row>
    <row r="8" spans="1:46" x14ac:dyDescent="0.2">
      <c r="A8" s="200" t="s">
        <v>567</v>
      </c>
      <c r="B8" s="201" t="s">
        <v>583</v>
      </c>
      <c r="C8" s="201" t="s">
        <v>584</v>
      </c>
      <c r="D8" s="201" t="s">
        <v>436</v>
      </c>
      <c r="E8" s="169" t="s">
        <v>769</v>
      </c>
      <c r="F8" s="201" t="s">
        <v>585</v>
      </c>
      <c r="G8" s="201"/>
      <c r="H8" s="201" t="s">
        <v>571</v>
      </c>
      <c r="I8" s="201" t="s">
        <v>586</v>
      </c>
      <c r="J8" s="201" t="s">
        <v>587</v>
      </c>
      <c r="K8" s="215">
        <v>22</v>
      </c>
      <c r="L8" s="216">
        <v>4309</v>
      </c>
      <c r="M8" s="216">
        <v>4309</v>
      </c>
      <c r="N8" s="216">
        <v>4309</v>
      </c>
      <c r="O8" s="216">
        <v>4309</v>
      </c>
      <c r="P8" s="216">
        <v>4309</v>
      </c>
      <c r="Q8" s="216">
        <v>226</v>
      </c>
      <c r="R8" s="201"/>
      <c r="S8" s="217">
        <v>0.84679858006836706</v>
      </c>
      <c r="T8" s="217">
        <v>0.84679858006836706</v>
      </c>
      <c r="U8" s="217">
        <v>0.84679858006836706</v>
      </c>
      <c r="V8" s="217">
        <v>0.84679858006836706</v>
      </c>
      <c r="W8" s="217">
        <v>0.84679858006836706</v>
      </c>
      <c r="X8" s="201"/>
      <c r="Y8" s="217"/>
      <c r="Z8" s="217"/>
      <c r="AA8" s="231"/>
      <c r="AB8" s="231"/>
      <c r="AC8" s="231"/>
      <c r="AD8" s="228"/>
      <c r="AE8" s="172">
        <v>1</v>
      </c>
      <c r="AF8" s="231">
        <v>1</v>
      </c>
      <c r="AG8" s="203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</row>
    <row r="9" spans="1:46" x14ac:dyDescent="0.2">
      <c r="A9" s="200" t="s">
        <v>567</v>
      </c>
      <c r="B9" s="201" t="s">
        <v>588</v>
      </c>
      <c r="C9" s="201" t="s">
        <v>589</v>
      </c>
      <c r="D9" s="201" t="s">
        <v>436</v>
      </c>
      <c r="E9" s="169" t="s">
        <v>769</v>
      </c>
      <c r="F9" s="201" t="s">
        <v>585</v>
      </c>
      <c r="G9" s="201"/>
      <c r="H9" s="201" t="s">
        <v>571</v>
      </c>
      <c r="I9" s="201"/>
      <c r="J9" s="201"/>
      <c r="K9" s="215">
        <f>K8</f>
        <v>22</v>
      </c>
      <c r="L9" s="216">
        <f t="shared" ref="L9:W9" si="1">L8</f>
        <v>4309</v>
      </c>
      <c r="M9" s="216">
        <f t="shared" si="1"/>
        <v>4309</v>
      </c>
      <c r="N9" s="216">
        <f t="shared" si="1"/>
        <v>4309</v>
      </c>
      <c r="O9" s="216">
        <f t="shared" si="1"/>
        <v>4309</v>
      </c>
      <c r="P9" s="216">
        <f t="shared" si="1"/>
        <v>4309</v>
      </c>
      <c r="Q9" s="216">
        <f t="shared" si="1"/>
        <v>226</v>
      </c>
      <c r="R9" s="201"/>
      <c r="S9" s="170">
        <f t="shared" si="1"/>
        <v>0.84679858006836706</v>
      </c>
      <c r="T9" s="170">
        <f t="shared" si="1"/>
        <v>0.84679858006836706</v>
      </c>
      <c r="U9" s="170">
        <f t="shared" si="1"/>
        <v>0.84679858006836706</v>
      </c>
      <c r="V9" s="170">
        <f t="shared" si="1"/>
        <v>0.84679858006836706</v>
      </c>
      <c r="W9" s="170">
        <f t="shared" si="1"/>
        <v>0.84679858006836706</v>
      </c>
      <c r="X9" s="201"/>
      <c r="Y9" s="170"/>
      <c r="Z9" s="170"/>
      <c r="AA9" s="172"/>
      <c r="AB9" s="172"/>
      <c r="AC9" s="172"/>
      <c r="AD9" s="228"/>
      <c r="AE9" s="231">
        <f>AE8</f>
        <v>1</v>
      </c>
      <c r="AF9" s="231">
        <f>AF8</f>
        <v>1</v>
      </c>
      <c r="AG9" s="203"/>
      <c r="AH9" s="217"/>
      <c r="AI9" s="217"/>
      <c r="AJ9" s="217"/>
      <c r="AK9" s="217"/>
      <c r="AL9" s="217"/>
      <c r="AM9" s="217"/>
      <c r="AN9" s="217"/>
      <c r="AO9" s="201"/>
      <c r="AP9" s="201"/>
      <c r="AQ9" s="201"/>
      <c r="AR9" s="201"/>
      <c r="AS9" s="201"/>
      <c r="AT9" s="201"/>
    </row>
    <row r="10" spans="1:46" x14ac:dyDescent="0.2">
      <c r="A10" s="202" t="s">
        <v>799</v>
      </c>
      <c r="B10" s="201" t="str">
        <f>B9&amp;"-"&amp;RIGHT(F10,3)&amp;"spl"</f>
        <v>R_ES-SH-DH_GAS02-SOLspl</v>
      </c>
      <c r="C10" s="203" t="s">
        <v>590</v>
      </c>
      <c r="D10" s="203" t="s">
        <v>436</v>
      </c>
      <c r="E10" s="169" t="s">
        <v>767</v>
      </c>
      <c r="F10" s="201" t="s">
        <v>86</v>
      </c>
      <c r="G10" s="201"/>
      <c r="H10" s="201" t="s">
        <v>571</v>
      </c>
      <c r="I10" s="201"/>
      <c r="J10" s="201"/>
      <c r="K10" s="218">
        <v>20</v>
      </c>
      <c r="L10" s="216">
        <v>6294</v>
      </c>
      <c r="M10" s="216">
        <v>6000.36</v>
      </c>
      <c r="N10" s="216">
        <v>5755.66</v>
      </c>
      <c r="O10" s="216">
        <v>4678.9799999999996</v>
      </c>
      <c r="P10" s="216">
        <v>4678.9799999999996</v>
      </c>
      <c r="Q10" s="216">
        <v>115</v>
      </c>
      <c r="R10" s="201"/>
      <c r="S10" s="170">
        <v>1</v>
      </c>
      <c r="T10" s="170"/>
      <c r="U10" s="170"/>
      <c r="V10" s="170"/>
      <c r="W10" s="170"/>
      <c r="X10" s="201"/>
      <c r="Y10" s="170"/>
      <c r="Z10" s="170"/>
      <c r="AA10" s="172"/>
      <c r="AB10" s="172"/>
      <c r="AC10" s="172"/>
      <c r="AD10" s="228"/>
      <c r="AE10" s="172">
        <v>0.15</v>
      </c>
      <c r="AF10" s="231">
        <v>0.15</v>
      </c>
      <c r="AG10" s="203"/>
      <c r="AH10" s="217"/>
      <c r="AI10" s="217"/>
      <c r="AJ10" s="217"/>
      <c r="AK10" s="217"/>
      <c r="AL10" s="217"/>
      <c r="AM10" s="217"/>
      <c r="AN10" s="217"/>
      <c r="AO10" s="201" t="s">
        <v>579</v>
      </c>
      <c r="AP10" s="201"/>
      <c r="AQ10" s="201" t="s">
        <v>591</v>
      </c>
      <c r="AR10" s="201"/>
      <c r="AS10" s="201"/>
      <c r="AT10" s="201"/>
    </row>
    <row r="11" spans="1:46" x14ac:dyDescent="0.2">
      <c r="A11" s="202" t="s">
        <v>799</v>
      </c>
      <c r="B11" s="201" t="str">
        <f>B9&amp;"-"&amp;RIGHT(F11,3)&amp;"spl"</f>
        <v>R_ES-SH-DH_GAS02-BIOspl</v>
      </c>
      <c r="C11" s="203" t="s">
        <v>592</v>
      </c>
      <c r="D11" s="203" t="s">
        <v>436</v>
      </c>
      <c r="E11" s="169" t="s">
        <v>768</v>
      </c>
      <c r="F11" s="201" t="s">
        <v>79</v>
      </c>
      <c r="G11" s="201"/>
      <c r="H11" s="201" t="s">
        <v>399</v>
      </c>
      <c r="I11" s="201"/>
      <c r="J11" s="201"/>
      <c r="K11" s="218">
        <v>20</v>
      </c>
      <c r="L11" s="216">
        <v>4200</v>
      </c>
      <c r="M11" s="216">
        <v>4200</v>
      </c>
      <c r="N11" s="216">
        <v>5100</v>
      </c>
      <c r="O11" s="216">
        <v>5100</v>
      </c>
      <c r="P11" s="216">
        <v>5100</v>
      </c>
      <c r="Q11" s="216">
        <v>1</v>
      </c>
      <c r="R11" s="201"/>
      <c r="S11" s="170">
        <v>0.65</v>
      </c>
      <c r="T11" s="170">
        <v>0.7</v>
      </c>
      <c r="U11" s="170">
        <v>0.75</v>
      </c>
      <c r="V11" s="170">
        <v>0.75</v>
      </c>
      <c r="W11" s="170">
        <v>0.75</v>
      </c>
      <c r="X11" s="201"/>
      <c r="Y11" s="170"/>
      <c r="Z11" s="170"/>
      <c r="AA11" s="172"/>
      <c r="AB11" s="172"/>
      <c r="AC11" s="172"/>
      <c r="AD11" s="228"/>
      <c r="AE11" s="172">
        <v>0.4</v>
      </c>
      <c r="AF11" s="231"/>
      <c r="AG11" s="203"/>
      <c r="AH11" s="217"/>
      <c r="AI11" s="217"/>
      <c r="AJ11" s="217"/>
      <c r="AK11" s="217"/>
      <c r="AL11" s="217"/>
      <c r="AM11" s="217"/>
      <c r="AN11" s="217"/>
      <c r="AO11" s="205" t="s">
        <v>579</v>
      </c>
      <c r="AP11" s="205"/>
      <c r="AQ11" s="205" t="s">
        <v>582</v>
      </c>
      <c r="AR11" s="201"/>
      <c r="AS11" s="201"/>
      <c r="AT11" s="201"/>
    </row>
    <row r="12" spans="1:46" s="173" customFormat="1" x14ac:dyDescent="0.2">
      <c r="A12" s="204" t="s">
        <v>567</v>
      </c>
      <c r="B12" s="205" t="s">
        <v>593</v>
      </c>
      <c r="C12" s="205" t="s">
        <v>594</v>
      </c>
      <c r="D12" s="205" t="s">
        <v>436</v>
      </c>
      <c r="E12" s="174" t="s">
        <v>770</v>
      </c>
      <c r="F12" s="221" t="s">
        <v>79</v>
      </c>
      <c r="G12" s="221"/>
      <c r="H12" s="205" t="s">
        <v>571</v>
      </c>
      <c r="I12" s="205" t="s">
        <v>595</v>
      </c>
      <c r="J12" s="205" t="s">
        <v>596</v>
      </c>
      <c r="K12" s="222">
        <v>20</v>
      </c>
      <c r="L12" s="223">
        <v>16550</v>
      </c>
      <c r="M12" s="223">
        <v>16550</v>
      </c>
      <c r="N12" s="223">
        <v>17720</v>
      </c>
      <c r="O12" s="223">
        <v>17720</v>
      </c>
      <c r="P12" s="223">
        <v>17720</v>
      </c>
      <c r="Q12" s="223">
        <v>470.58823529411768</v>
      </c>
      <c r="R12" s="205"/>
      <c r="S12" s="224">
        <v>0.67308496185599331</v>
      </c>
      <c r="T12" s="224">
        <v>0.67308496185599331</v>
      </c>
      <c r="U12" s="224">
        <v>0.67308496185599331</v>
      </c>
      <c r="V12" s="224">
        <v>0.67308496185599331</v>
      </c>
      <c r="W12" s="224">
        <v>0.67308496185599331</v>
      </c>
      <c r="X12" s="205"/>
      <c r="Y12" s="224"/>
      <c r="Z12" s="224"/>
      <c r="AA12" s="274"/>
      <c r="AB12" s="274"/>
      <c r="AC12" s="274"/>
      <c r="AD12" s="275"/>
      <c r="AE12" s="276">
        <v>1</v>
      </c>
      <c r="AF12" s="274">
        <v>1</v>
      </c>
      <c r="AG12" s="212"/>
      <c r="AH12" s="205"/>
      <c r="AI12" s="205"/>
      <c r="AJ12" s="205"/>
      <c r="AK12" s="205"/>
      <c r="AL12" s="205"/>
      <c r="AM12" s="205"/>
      <c r="AN12" s="205"/>
      <c r="AO12" s="205" t="s">
        <v>579</v>
      </c>
      <c r="AP12" s="205"/>
      <c r="AQ12" s="205" t="s">
        <v>582</v>
      </c>
      <c r="AR12" s="205"/>
      <c r="AS12" s="205"/>
      <c r="AT12" s="205"/>
    </row>
    <row r="13" spans="1:46" s="175" customFormat="1" x14ac:dyDescent="0.2">
      <c r="A13" s="206" t="s">
        <v>567</v>
      </c>
      <c r="B13" s="206" t="s">
        <v>597</v>
      </c>
      <c r="C13" s="206" t="s">
        <v>598</v>
      </c>
      <c r="D13" s="206" t="s">
        <v>436</v>
      </c>
      <c r="E13" s="176" t="s">
        <v>771</v>
      </c>
      <c r="F13" s="206" t="s">
        <v>81</v>
      </c>
      <c r="G13" s="206"/>
      <c r="H13" s="206" t="s">
        <v>571</v>
      </c>
      <c r="I13" s="206" t="s">
        <v>597</v>
      </c>
      <c r="J13" s="206" t="s">
        <v>599</v>
      </c>
      <c r="K13" s="225">
        <v>15</v>
      </c>
      <c r="L13" s="226">
        <v>4000</v>
      </c>
      <c r="M13" s="226">
        <v>4000</v>
      </c>
      <c r="N13" s="226">
        <v>4000</v>
      </c>
      <c r="O13" s="226">
        <v>4000</v>
      </c>
      <c r="P13" s="226">
        <v>4000</v>
      </c>
      <c r="Q13" s="226">
        <v>10</v>
      </c>
      <c r="R13" s="206"/>
      <c r="S13" s="227">
        <v>1</v>
      </c>
      <c r="T13" s="206"/>
      <c r="U13" s="206"/>
      <c r="V13" s="206"/>
      <c r="W13" s="206"/>
      <c r="X13" s="206"/>
      <c r="Y13" s="227"/>
      <c r="Z13" s="227"/>
      <c r="AA13" s="227"/>
      <c r="AB13" s="227"/>
      <c r="AC13" s="227"/>
      <c r="AD13" s="225"/>
      <c r="AE13" s="277">
        <v>1</v>
      </c>
      <c r="AF13" s="227">
        <v>1</v>
      </c>
      <c r="AG13" s="277"/>
      <c r="AH13" s="177"/>
      <c r="AI13" s="177"/>
      <c r="AJ13" s="177"/>
      <c r="AK13" s="177"/>
      <c r="AL13" s="177"/>
      <c r="AM13" s="177"/>
      <c r="AN13" s="177"/>
      <c r="AO13" s="206"/>
      <c r="AP13" s="206"/>
      <c r="AQ13" s="206" t="s">
        <v>600</v>
      </c>
      <c r="AR13" s="206"/>
      <c r="AS13" s="206"/>
      <c r="AT13" s="206"/>
    </row>
    <row r="14" spans="1:46" s="171" customFormat="1" x14ac:dyDescent="0.2">
      <c r="A14" s="207" t="s">
        <v>601</v>
      </c>
      <c r="B14" s="203" t="s">
        <v>602</v>
      </c>
      <c r="C14" s="203" t="s">
        <v>603</v>
      </c>
      <c r="D14" s="203" t="s">
        <v>436</v>
      </c>
      <c r="E14" s="178" t="s">
        <v>772</v>
      </c>
      <c r="F14" s="203" t="s">
        <v>81</v>
      </c>
      <c r="G14" s="201" t="s">
        <v>82</v>
      </c>
      <c r="H14" s="203" t="s">
        <v>604</v>
      </c>
      <c r="I14" s="203" t="s">
        <v>602</v>
      </c>
      <c r="J14" s="203" t="s">
        <v>605</v>
      </c>
      <c r="K14" s="228">
        <v>20</v>
      </c>
      <c r="L14" s="229">
        <v>15389</v>
      </c>
      <c r="M14" s="229">
        <v>14619.55</v>
      </c>
      <c r="N14" s="229">
        <v>13234.54</v>
      </c>
      <c r="O14" s="229">
        <v>12618.98</v>
      </c>
      <c r="P14" s="229">
        <v>12618.98</v>
      </c>
      <c r="Q14" s="229">
        <v>300</v>
      </c>
      <c r="R14" s="203"/>
      <c r="S14" s="230">
        <v>3</v>
      </c>
      <c r="T14" s="230">
        <v>3.2</v>
      </c>
      <c r="U14" s="230">
        <v>3.7</v>
      </c>
      <c r="V14" s="230">
        <v>4</v>
      </c>
      <c r="W14" s="230">
        <v>4</v>
      </c>
      <c r="X14" s="203"/>
      <c r="Y14" s="230"/>
      <c r="Z14" s="230"/>
      <c r="AA14" s="230"/>
      <c r="AB14" s="230"/>
      <c r="AC14" s="230"/>
      <c r="AD14" s="228"/>
      <c r="AE14" s="172">
        <v>0.7</v>
      </c>
      <c r="AF14" s="203"/>
      <c r="AG14" s="203"/>
      <c r="AH14" s="231"/>
      <c r="AI14" s="231"/>
      <c r="AJ14" s="231"/>
      <c r="AK14" s="231"/>
      <c r="AL14" s="231"/>
      <c r="AM14" s="231"/>
      <c r="AN14" s="231"/>
      <c r="AO14" s="203" t="s">
        <v>579</v>
      </c>
      <c r="AP14" s="203"/>
      <c r="AQ14" s="203" t="s">
        <v>606</v>
      </c>
      <c r="AR14" s="232"/>
      <c r="AS14" s="203"/>
      <c r="AT14" s="203"/>
    </row>
    <row r="15" spans="1:46" s="171" customFormat="1" x14ac:dyDescent="0.2">
      <c r="A15" s="202" t="s">
        <v>799</v>
      </c>
      <c r="B15" s="201" t="str">
        <f>B14&amp;"-"&amp;RIGHT(F15,3)&amp;"spl"</f>
        <v>R_ES-SH-DH_ELC02-ELCspl</v>
      </c>
      <c r="C15" s="203" t="s">
        <v>607</v>
      </c>
      <c r="D15" s="203" t="s">
        <v>436</v>
      </c>
      <c r="E15" s="178" t="s">
        <v>771</v>
      </c>
      <c r="F15" s="203" t="s">
        <v>81</v>
      </c>
      <c r="G15" s="203"/>
      <c r="H15" s="203" t="s">
        <v>571</v>
      </c>
      <c r="I15" s="203"/>
      <c r="J15" s="203"/>
      <c r="K15" s="233">
        <v>15</v>
      </c>
      <c r="L15" s="220">
        <v>3039.5388059701486</v>
      </c>
      <c r="M15" s="220">
        <v>3039.5388059701486</v>
      </c>
      <c r="N15" s="220">
        <v>3039.5388059701486</v>
      </c>
      <c r="O15" s="220">
        <v>3039.5388059701486</v>
      </c>
      <c r="P15" s="220">
        <v>3039.5388059701486</v>
      </c>
      <c r="Q15" s="220">
        <v>55</v>
      </c>
      <c r="R15" s="203"/>
      <c r="S15" s="231">
        <v>1</v>
      </c>
      <c r="T15" s="231">
        <v>1</v>
      </c>
      <c r="U15" s="231">
        <v>1</v>
      </c>
      <c r="V15" s="231">
        <v>1</v>
      </c>
      <c r="W15" s="231">
        <v>1</v>
      </c>
      <c r="X15" s="230"/>
      <c r="Y15" s="230"/>
      <c r="Z15" s="230"/>
      <c r="AA15" s="230"/>
      <c r="AB15" s="230"/>
      <c r="AC15" s="230"/>
      <c r="AD15" s="233"/>
      <c r="AE15" s="172">
        <v>0.3</v>
      </c>
      <c r="AF15" s="231">
        <v>1</v>
      </c>
      <c r="AG15" s="203"/>
      <c r="AH15" s="231"/>
      <c r="AI15" s="231"/>
      <c r="AJ15" s="231"/>
      <c r="AK15" s="231"/>
      <c r="AL15" s="231"/>
      <c r="AM15" s="231"/>
      <c r="AN15" s="231"/>
      <c r="AO15" s="203"/>
      <c r="AP15" s="203"/>
      <c r="AQ15" s="201" t="s">
        <v>608</v>
      </c>
      <c r="AR15" s="232"/>
      <c r="AS15" s="203"/>
      <c r="AT15" s="203"/>
    </row>
    <row r="16" spans="1:46" s="171" customFormat="1" x14ac:dyDescent="0.2">
      <c r="A16" s="202" t="s">
        <v>799</v>
      </c>
      <c r="B16" s="201" t="str">
        <f>B14&amp;"-"&amp;RIGHT(F16,3)&amp;"spl"</f>
        <v>R_ES-SH-DH_ELC02-GASspl</v>
      </c>
      <c r="C16" s="203" t="s">
        <v>609</v>
      </c>
      <c r="D16" s="203" t="s">
        <v>436</v>
      </c>
      <c r="E16" s="178" t="s">
        <v>769</v>
      </c>
      <c r="F16" s="201" t="s">
        <v>610</v>
      </c>
      <c r="G16" s="201"/>
      <c r="H16" s="203" t="s">
        <v>571</v>
      </c>
      <c r="I16" s="203"/>
      <c r="J16" s="203"/>
      <c r="K16" s="228">
        <f>K8</f>
        <v>22</v>
      </c>
      <c r="L16" s="220">
        <v>5348.0999999999985</v>
      </c>
      <c r="M16" s="220">
        <f>$L$16*(M8/$L$8)</f>
        <v>5348.0999999999985</v>
      </c>
      <c r="N16" s="220">
        <f>$L$16*(N8/$L$8)</f>
        <v>5348.0999999999985</v>
      </c>
      <c r="O16" s="220">
        <f>$L$16*(O8/$L$8)</f>
        <v>5348.0999999999985</v>
      </c>
      <c r="P16" s="220">
        <f>$L$16*(P8/$L$8)</f>
        <v>5348.0999999999985</v>
      </c>
      <c r="Q16" s="220">
        <v>113</v>
      </c>
      <c r="R16" s="203"/>
      <c r="S16" s="231">
        <v>0.84679858006836706</v>
      </c>
      <c r="T16" s="231">
        <v>0.84679858006836706</v>
      </c>
      <c r="U16" s="231">
        <v>0.84679858006836706</v>
      </c>
      <c r="V16" s="231">
        <v>0.84679858006836706</v>
      </c>
      <c r="W16" s="231">
        <v>0.84679858006836706</v>
      </c>
      <c r="X16" s="230"/>
      <c r="Y16" s="230"/>
      <c r="Z16" s="230"/>
      <c r="AA16" s="230"/>
      <c r="AB16" s="230"/>
      <c r="AC16" s="230"/>
      <c r="AD16" s="228"/>
      <c r="AE16" s="172">
        <v>0.3</v>
      </c>
      <c r="AF16" s="231">
        <v>1</v>
      </c>
      <c r="AG16" s="203"/>
      <c r="AH16" s="231"/>
      <c r="AI16" s="231"/>
      <c r="AJ16" s="231"/>
      <c r="AK16" s="231"/>
      <c r="AL16" s="231"/>
      <c r="AM16" s="231"/>
      <c r="AN16" s="231"/>
      <c r="AO16" s="201" t="s">
        <v>579</v>
      </c>
      <c r="AP16" s="201"/>
      <c r="AQ16" s="201" t="s">
        <v>608</v>
      </c>
      <c r="AR16" s="232"/>
      <c r="AS16" s="203"/>
      <c r="AT16" s="203"/>
    </row>
    <row r="17" spans="1:46" s="171" customFormat="1" x14ac:dyDescent="0.2">
      <c r="A17" s="202" t="s">
        <v>799</v>
      </c>
      <c r="B17" s="201" t="str">
        <f>B14&amp;"-"&amp;RIGHT(F17,3)&amp;"spl"</f>
        <v>R_ES-SH-DH_ELC02-BIOspl</v>
      </c>
      <c r="C17" s="203" t="s">
        <v>611</v>
      </c>
      <c r="D17" s="203" t="s">
        <v>436</v>
      </c>
      <c r="E17" s="178" t="s">
        <v>770</v>
      </c>
      <c r="F17" s="203" t="s">
        <v>79</v>
      </c>
      <c r="G17" s="203"/>
      <c r="H17" s="203" t="s">
        <v>571</v>
      </c>
      <c r="I17" s="203"/>
      <c r="J17" s="203"/>
      <c r="K17" s="228">
        <f>K12</f>
        <v>20</v>
      </c>
      <c r="L17" s="220">
        <v>10328.099999999999</v>
      </c>
      <c r="M17" s="220">
        <v>10328.099999999999</v>
      </c>
      <c r="N17" s="220">
        <v>11257.629000000001</v>
      </c>
      <c r="O17" s="220">
        <v>11257.629000000001</v>
      </c>
      <c r="P17" s="220">
        <v>11257.629000000001</v>
      </c>
      <c r="Q17" s="220">
        <v>136.14999999999998</v>
      </c>
      <c r="R17" s="203"/>
      <c r="S17" s="231">
        <v>0.67308496185599331</v>
      </c>
      <c r="T17" s="231">
        <v>0.67308496185599331</v>
      </c>
      <c r="U17" s="231">
        <v>0.67308496185599331</v>
      </c>
      <c r="V17" s="231">
        <v>0.67308496185599331</v>
      </c>
      <c r="W17" s="231">
        <v>0.67308496185599331</v>
      </c>
      <c r="X17" s="230"/>
      <c r="Y17" s="230"/>
      <c r="Z17" s="230"/>
      <c r="AA17" s="230"/>
      <c r="AB17" s="230"/>
      <c r="AC17" s="230"/>
      <c r="AD17" s="228"/>
      <c r="AE17" s="172">
        <v>0.3</v>
      </c>
      <c r="AF17" s="231">
        <v>1</v>
      </c>
      <c r="AG17" s="203"/>
      <c r="AH17" s="231"/>
      <c r="AI17" s="231"/>
      <c r="AJ17" s="231"/>
      <c r="AK17" s="231"/>
      <c r="AL17" s="231"/>
      <c r="AM17" s="231"/>
      <c r="AN17" s="231"/>
      <c r="AO17" s="201" t="s">
        <v>579</v>
      </c>
      <c r="AP17" s="201"/>
      <c r="AQ17" s="201" t="s">
        <v>608</v>
      </c>
      <c r="AR17" s="232"/>
      <c r="AS17" s="203"/>
      <c r="AT17" s="203"/>
    </row>
    <row r="18" spans="1:46" s="171" customFormat="1" x14ac:dyDescent="0.2">
      <c r="A18" s="202" t="s">
        <v>799</v>
      </c>
      <c r="B18" s="201" t="str">
        <f>B14&amp;"-"&amp;RIGHT(F18,3)&amp;"spl"</f>
        <v>R_ES-SH-DH_ELC02-SOLspl</v>
      </c>
      <c r="C18" s="203" t="s">
        <v>612</v>
      </c>
      <c r="D18" s="203" t="s">
        <v>436</v>
      </c>
      <c r="E18" s="178" t="s">
        <v>767</v>
      </c>
      <c r="F18" s="203" t="s">
        <v>86</v>
      </c>
      <c r="G18" s="203"/>
      <c r="H18" s="203" t="s">
        <v>571</v>
      </c>
      <c r="I18" s="203"/>
      <c r="J18" s="203"/>
      <c r="K18" s="233">
        <v>20</v>
      </c>
      <c r="L18" s="220">
        <v>4396.5999999999985</v>
      </c>
      <c r="M18" s="220">
        <v>5027.2139999999981</v>
      </c>
      <c r="N18" s="220">
        <v>4759.8089999999984</v>
      </c>
      <c r="O18" s="220">
        <v>3583.2269999999985</v>
      </c>
      <c r="P18" s="220">
        <v>3583.2269999999985</v>
      </c>
      <c r="Q18" s="220">
        <v>61</v>
      </c>
      <c r="R18" s="203"/>
      <c r="S18" s="231">
        <v>1</v>
      </c>
      <c r="T18" s="231">
        <v>1</v>
      </c>
      <c r="U18" s="231">
        <v>1</v>
      </c>
      <c r="V18" s="231">
        <v>1</v>
      </c>
      <c r="W18" s="231">
        <v>1</v>
      </c>
      <c r="X18" s="230"/>
      <c r="Y18" s="230"/>
      <c r="Z18" s="230"/>
      <c r="AA18" s="230"/>
      <c r="AB18" s="230"/>
      <c r="AC18" s="230"/>
      <c r="AD18" s="233"/>
      <c r="AE18" s="172">
        <v>0.3</v>
      </c>
      <c r="AF18" s="231">
        <v>1</v>
      </c>
      <c r="AG18" s="203"/>
      <c r="AH18" s="231"/>
      <c r="AI18" s="231"/>
      <c r="AJ18" s="231"/>
      <c r="AK18" s="231"/>
      <c r="AL18" s="231"/>
      <c r="AM18" s="231"/>
      <c r="AN18" s="231"/>
      <c r="AO18" s="203"/>
      <c r="AP18" s="203"/>
      <c r="AQ18" s="201" t="s">
        <v>608</v>
      </c>
      <c r="AR18" s="232"/>
      <c r="AS18" s="203"/>
      <c r="AT18" s="203"/>
    </row>
    <row r="19" spans="1:46" x14ac:dyDescent="0.2">
      <c r="A19" s="203" t="s">
        <v>601</v>
      </c>
      <c r="B19" s="203" t="s">
        <v>613</v>
      </c>
      <c r="C19" s="203" t="s">
        <v>614</v>
      </c>
      <c r="D19" s="203" t="s">
        <v>436</v>
      </c>
      <c r="E19" s="178" t="s">
        <v>773</v>
      </c>
      <c r="F19" s="203" t="s">
        <v>81</v>
      </c>
      <c r="G19" s="201" t="s">
        <v>82</v>
      </c>
      <c r="H19" s="201" t="s">
        <v>571</v>
      </c>
      <c r="I19" s="201"/>
      <c r="J19" s="201"/>
      <c r="K19" s="215">
        <v>20</v>
      </c>
      <c r="L19" s="216">
        <v>15389</v>
      </c>
      <c r="M19" s="216">
        <v>14003.99</v>
      </c>
      <c r="N19" s="216">
        <v>14003.99</v>
      </c>
      <c r="O19" s="216">
        <v>12618.98</v>
      </c>
      <c r="P19" s="216">
        <v>12618.98</v>
      </c>
      <c r="Q19" s="216">
        <v>246</v>
      </c>
      <c r="R19" s="201"/>
      <c r="S19" s="234">
        <v>3.1</v>
      </c>
      <c r="T19" s="234">
        <v>3.3</v>
      </c>
      <c r="U19" s="234">
        <v>3.7</v>
      </c>
      <c r="V19" s="234">
        <v>4</v>
      </c>
      <c r="W19" s="234">
        <v>4</v>
      </c>
      <c r="X19" s="201"/>
      <c r="Y19" s="234"/>
      <c r="Z19" s="234"/>
      <c r="AA19" s="236"/>
      <c r="AB19" s="236"/>
      <c r="AC19" s="236"/>
      <c r="AD19" s="228"/>
      <c r="AE19" s="172">
        <v>1</v>
      </c>
      <c r="AF19" s="172">
        <v>1</v>
      </c>
      <c r="AG19" s="172"/>
      <c r="AH19" s="170"/>
      <c r="AI19" s="170"/>
      <c r="AJ19" s="170"/>
      <c r="AK19" s="170"/>
      <c r="AL19" s="170"/>
      <c r="AM19" s="170"/>
      <c r="AN19" s="170"/>
      <c r="AO19" s="201"/>
      <c r="AP19" s="201"/>
      <c r="AQ19" s="201"/>
      <c r="AR19" s="201"/>
      <c r="AS19" s="201"/>
      <c r="AT19" s="201"/>
    </row>
    <row r="20" spans="1:46" x14ac:dyDescent="0.2">
      <c r="A20" s="201" t="s">
        <v>601</v>
      </c>
      <c r="B20" s="203" t="s">
        <v>615</v>
      </c>
      <c r="C20" s="201" t="s">
        <v>616</v>
      </c>
      <c r="D20" s="201" t="s">
        <v>436</v>
      </c>
      <c r="E20" s="169" t="str">
        <f>E19&amp;" + add costs"</f>
        <v>HP-e-air-to-water + add costs</v>
      </c>
      <c r="F20" s="201" t="s">
        <v>81</v>
      </c>
      <c r="G20" s="201" t="s">
        <v>82</v>
      </c>
      <c r="H20" s="201" t="s">
        <v>617</v>
      </c>
      <c r="I20" s="201"/>
      <c r="J20" s="201"/>
      <c r="K20" s="215">
        <f>K19</f>
        <v>20</v>
      </c>
      <c r="L20" s="216">
        <f t="shared" ref="L20:Q20" si="2">L19*$AN20</f>
        <v>16927.900000000001</v>
      </c>
      <c r="M20" s="216">
        <f t="shared" si="2"/>
        <v>15404.389000000001</v>
      </c>
      <c r="N20" s="216">
        <f t="shared" si="2"/>
        <v>15404.389000000001</v>
      </c>
      <c r="O20" s="216">
        <f t="shared" si="2"/>
        <v>13880.878000000001</v>
      </c>
      <c r="P20" s="216">
        <f t="shared" si="2"/>
        <v>13880.878000000001</v>
      </c>
      <c r="Q20" s="216">
        <f t="shared" si="2"/>
        <v>270.60000000000002</v>
      </c>
      <c r="R20" s="201"/>
      <c r="S20" s="235">
        <f>S19</f>
        <v>3.1</v>
      </c>
      <c r="T20" s="235">
        <f>T19</f>
        <v>3.3</v>
      </c>
      <c r="U20" s="235">
        <f>U19</f>
        <v>3.7</v>
      </c>
      <c r="V20" s="235">
        <f>V19</f>
        <v>4</v>
      </c>
      <c r="W20" s="235">
        <f>W19</f>
        <v>4</v>
      </c>
      <c r="X20" s="201"/>
      <c r="Y20" s="201"/>
      <c r="Z20" s="201"/>
      <c r="AA20" s="203"/>
      <c r="AB20" s="203"/>
      <c r="AC20" s="203"/>
      <c r="AD20" s="228"/>
      <c r="AE20" s="172">
        <f>AE19</f>
        <v>1</v>
      </c>
      <c r="AF20" s="172">
        <f>AF19</f>
        <v>1</v>
      </c>
      <c r="AG20" s="172">
        <v>1</v>
      </c>
      <c r="AH20" s="180"/>
      <c r="AI20" s="180"/>
      <c r="AJ20" s="180"/>
      <c r="AK20" s="180"/>
      <c r="AL20" s="180"/>
      <c r="AM20" s="180"/>
      <c r="AN20" s="180">
        <v>1.1000000000000001</v>
      </c>
      <c r="AO20" s="201"/>
      <c r="AP20" s="201"/>
      <c r="AQ20" s="201"/>
      <c r="AR20" s="201"/>
      <c r="AS20" s="201"/>
      <c r="AT20" s="201"/>
    </row>
    <row r="21" spans="1:46" x14ac:dyDescent="0.2">
      <c r="A21" s="203" t="s">
        <v>601</v>
      </c>
      <c r="B21" s="203" t="s">
        <v>618</v>
      </c>
      <c r="C21" s="203" t="s">
        <v>619</v>
      </c>
      <c r="D21" s="203" t="s">
        <v>436</v>
      </c>
      <c r="E21" s="178" t="s">
        <v>774</v>
      </c>
      <c r="F21" s="203" t="s">
        <v>81</v>
      </c>
      <c r="G21" s="201" t="s">
        <v>58</v>
      </c>
      <c r="H21" s="201" t="s">
        <v>571</v>
      </c>
      <c r="I21" s="201"/>
      <c r="J21" s="201"/>
      <c r="K21" s="215">
        <v>20</v>
      </c>
      <c r="L21" s="216">
        <v>16350</v>
      </c>
      <c r="M21" s="216">
        <v>15205.5</v>
      </c>
      <c r="N21" s="216">
        <v>14061</v>
      </c>
      <c r="O21" s="216">
        <v>12916.5</v>
      </c>
      <c r="P21" s="216">
        <v>12916.5</v>
      </c>
      <c r="Q21" s="216">
        <v>300</v>
      </c>
      <c r="R21" s="201"/>
      <c r="S21" s="234">
        <v>3.6</v>
      </c>
      <c r="T21" s="234">
        <v>3.7</v>
      </c>
      <c r="U21" s="234">
        <v>4</v>
      </c>
      <c r="V21" s="234">
        <v>4.5</v>
      </c>
      <c r="W21" s="234">
        <v>4.5</v>
      </c>
      <c r="X21" s="201"/>
      <c r="Y21" s="234"/>
      <c r="Z21" s="234"/>
      <c r="AA21" s="236"/>
      <c r="AB21" s="236"/>
      <c r="AC21" s="236"/>
      <c r="AD21" s="228"/>
      <c r="AE21" s="172">
        <v>1</v>
      </c>
      <c r="AF21" s="172">
        <v>1</v>
      </c>
      <c r="AG21" s="172"/>
      <c r="AH21" s="170"/>
      <c r="AI21" s="170"/>
      <c r="AJ21" s="170"/>
      <c r="AK21" s="170"/>
      <c r="AL21" s="170"/>
      <c r="AM21" s="170"/>
      <c r="AN21" s="170"/>
      <c r="AO21" s="201"/>
      <c r="AP21" s="201"/>
      <c r="AQ21" s="201"/>
      <c r="AR21" s="201"/>
      <c r="AS21" s="201"/>
      <c r="AT21" s="201"/>
    </row>
    <row r="22" spans="1:46" x14ac:dyDescent="0.2">
      <c r="A22" s="203" t="s">
        <v>601</v>
      </c>
      <c r="B22" s="203" t="s">
        <v>620</v>
      </c>
      <c r="C22" s="203" t="s">
        <v>621</v>
      </c>
      <c r="D22" s="203" t="s">
        <v>436</v>
      </c>
      <c r="E22" s="169" t="str">
        <f>E21&amp;" + add costs"</f>
        <v>Heat pump, ground source + add costs</v>
      </c>
      <c r="F22" s="203" t="s">
        <v>81</v>
      </c>
      <c r="G22" s="203" t="s">
        <v>58</v>
      </c>
      <c r="H22" s="203" t="s">
        <v>617</v>
      </c>
      <c r="I22" s="203" t="s">
        <v>615</v>
      </c>
      <c r="J22" s="203" t="s">
        <v>382</v>
      </c>
      <c r="K22" s="228">
        <f>K21</f>
        <v>20</v>
      </c>
      <c r="L22" s="220">
        <f t="shared" ref="L22:Q22" si="3">L21*$AN22</f>
        <v>17985</v>
      </c>
      <c r="M22" s="220">
        <f t="shared" si="3"/>
        <v>16726.050000000003</v>
      </c>
      <c r="N22" s="220">
        <f t="shared" si="3"/>
        <v>15467.1</v>
      </c>
      <c r="O22" s="220">
        <f t="shared" si="3"/>
        <v>14208.150000000001</v>
      </c>
      <c r="P22" s="220">
        <f t="shared" si="3"/>
        <v>14208.150000000001</v>
      </c>
      <c r="Q22" s="220">
        <f t="shared" si="3"/>
        <v>330</v>
      </c>
      <c r="R22" s="203"/>
      <c r="S22" s="230">
        <f>S21</f>
        <v>3.6</v>
      </c>
      <c r="T22" s="230">
        <f>T21</f>
        <v>3.7</v>
      </c>
      <c r="U22" s="230">
        <f>U21</f>
        <v>4</v>
      </c>
      <c r="V22" s="230">
        <f>V21</f>
        <v>4.5</v>
      </c>
      <c r="W22" s="230">
        <f>W21</f>
        <v>4.5</v>
      </c>
      <c r="X22" s="203"/>
      <c r="Y22" s="203"/>
      <c r="Z22" s="203"/>
      <c r="AA22" s="203"/>
      <c r="AB22" s="203"/>
      <c r="AC22" s="203"/>
      <c r="AD22" s="228"/>
      <c r="AE22" s="172">
        <f>AE21</f>
        <v>1</v>
      </c>
      <c r="AF22" s="172">
        <f>AF21</f>
        <v>1</v>
      </c>
      <c r="AG22" s="172">
        <v>1</v>
      </c>
      <c r="AH22" s="198"/>
      <c r="AI22" s="198"/>
      <c r="AJ22" s="198"/>
      <c r="AK22" s="198"/>
      <c r="AL22" s="198"/>
      <c r="AM22" s="198"/>
      <c r="AN22" s="198">
        <v>1.1000000000000001</v>
      </c>
      <c r="AO22" s="203"/>
      <c r="AP22" s="203"/>
      <c r="AQ22" s="203"/>
      <c r="AR22" s="203"/>
      <c r="AS22" s="203"/>
      <c r="AT22" s="203"/>
    </row>
    <row r="23" spans="1:46" x14ac:dyDescent="0.2">
      <c r="A23" s="203" t="s">
        <v>601</v>
      </c>
      <c r="B23" s="203" t="s">
        <v>622</v>
      </c>
      <c r="C23" s="203" t="s">
        <v>623</v>
      </c>
      <c r="D23" s="203" t="s">
        <v>436</v>
      </c>
      <c r="E23" s="178" t="str">
        <f>E21</f>
        <v>Heat pump, ground source</v>
      </c>
      <c r="F23" s="203" t="s">
        <v>81</v>
      </c>
      <c r="G23" s="201" t="s">
        <v>58</v>
      </c>
      <c r="H23" s="201" t="s">
        <v>571</v>
      </c>
      <c r="I23" s="201"/>
      <c r="J23" s="201"/>
      <c r="K23" s="215">
        <v>20</v>
      </c>
      <c r="L23" s="216">
        <v>25800</v>
      </c>
      <c r="M23" s="216">
        <v>24655.5</v>
      </c>
      <c r="N23" s="216">
        <v>23511</v>
      </c>
      <c r="O23" s="216">
        <v>22366.5</v>
      </c>
      <c r="P23" s="216">
        <v>22366.5</v>
      </c>
      <c r="Q23" s="216">
        <v>300</v>
      </c>
      <c r="R23" s="201"/>
      <c r="S23" s="234">
        <v>3.6</v>
      </c>
      <c r="T23" s="234">
        <v>3.7</v>
      </c>
      <c r="U23" s="234">
        <v>4</v>
      </c>
      <c r="V23" s="234">
        <v>4.5</v>
      </c>
      <c r="W23" s="234">
        <v>4.5</v>
      </c>
      <c r="X23" s="201"/>
      <c r="Y23" s="234"/>
      <c r="Z23" s="234"/>
      <c r="AA23" s="236"/>
      <c r="AB23" s="236"/>
      <c r="AC23" s="236"/>
      <c r="AD23" s="228"/>
      <c r="AE23" s="172">
        <v>1</v>
      </c>
      <c r="AF23" s="172">
        <v>1</v>
      </c>
      <c r="AG23" s="172"/>
      <c r="AH23" s="170"/>
      <c r="AI23" s="170"/>
      <c r="AJ23" s="170"/>
      <c r="AK23" s="170"/>
      <c r="AL23" s="170"/>
      <c r="AM23" s="170"/>
      <c r="AN23" s="170"/>
      <c r="AO23" s="201" t="s">
        <v>579</v>
      </c>
      <c r="AP23" s="201"/>
      <c r="AQ23" s="201" t="s">
        <v>624</v>
      </c>
      <c r="AR23" s="201"/>
      <c r="AS23" s="201"/>
      <c r="AT23" s="201"/>
    </row>
    <row r="24" spans="1:46" x14ac:dyDescent="0.2">
      <c r="A24" s="201" t="s">
        <v>601</v>
      </c>
      <c r="B24" s="203" t="s">
        <v>625</v>
      </c>
      <c r="C24" s="201" t="s">
        <v>626</v>
      </c>
      <c r="D24" s="201" t="s">
        <v>436</v>
      </c>
      <c r="E24" s="169" t="str">
        <f>E23&amp;" + add costs"</f>
        <v>Heat pump, ground source + add costs</v>
      </c>
      <c r="F24" s="201" t="s">
        <v>81</v>
      </c>
      <c r="G24" s="201" t="s">
        <v>58</v>
      </c>
      <c r="H24" s="201" t="s">
        <v>617</v>
      </c>
      <c r="I24" s="201" t="s">
        <v>618</v>
      </c>
      <c r="J24" s="201" t="s">
        <v>627</v>
      </c>
      <c r="K24" s="215">
        <f>K23</f>
        <v>20</v>
      </c>
      <c r="L24" s="216">
        <f t="shared" ref="L24:Q24" si="4">L23*$AN24</f>
        <v>28380.000000000004</v>
      </c>
      <c r="M24" s="216">
        <f t="shared" si="4"/>
        <v>27121.050000000003</v>
      </c>
      <c r="N24" s="216">
        <f t="shared" si="4"/>
        <v>25862.100000000002</v>
      </c>
      <c r="O24" s="216">
        <f t="shared" si="4"/>
        <v>24603.15</v>
      </c>
      <c r="P24" s="216">
        <f t="shared" si="4"/>
        <v>24603.15</v>
      </c>
      <c r="Q24" s="216">
        <f t="shared" si="4"/>
        <v>330</v>
      </c>
      <c r="R24" s="201"/>
      <c r="S24" s="235">
        <f>S23</f>
        <v>3.6</v>
      </c>
      <c r="T24" s="235">
        <f>T23</f>
        <v>3.7</v>
      </c>
      <c r="U24" s="235">
        <f>U23</f>
        <v>4</v>
      </c>
      <c r="V24" s="235">
        <f>V23</f>
        <v>4.5</v>
      </c>
      <c r="W24" s="235">
        <f>W23</f>
        <v>4.5</v>
      </c>
      <c r="X24" s="201"/>
      <c r="Y24" s="201"/>
      <c r="Z24" s="201"/>
      <c r="AA24" s="203"/>
      <c r="AB24" s="203"/>
      <c r="AC24" s="203"/>
      <c r="AD24" s="228"/>
      <c r="AE24" s="172">
        <f>AE23</f>
        <v>1</v>
      </c>
      <c r="AF24" s="172">
        <f>AF23</f>
        <v>1</v>
      </c>
      <c r="AG24" s="172">
        <v>1</v>
      </c>
      <c r="AH24" s="180"/>
      <c r="AI24" s="180"/>
      <c r="AJ24" s="180"/>
      <c r="AK24" s="180"/>
      <c r="AL24" s="180"/>
      <c r="AM24" s="180"/>
      <c r="AN24" s="180">
        <v>1.1000000000000001</v>
      </c>
      <c r="AO24" s="201" t="s">
        <v>579</v>
      </c>
      <c r="AP24" s="201"/>
      <c r="AQ24" s="201"/>
      <c r="AR24" s="201"/>
      <c r="AS24" s="201"/>
      <c r="AT24" s="201"/>
    </row>
    <row r="25" spans="1:46" x14ac:dyDescent="0.2">
      <c r="A25" s="203" t="s">
        <v>601</v>
      </c>
      <c r="B25" s="203" t="s">
        <v>628</v>
      </c>
      <c r="C25" s="203" t="s">
        <v>629</v>
      </c>
      <c r="D25" s="203" t="s">
        <v>436</v>
      </c>
      <c r="E25" s="178" t="s">
        <v>775</v>
      </c>
      <c r="F25" s="203" t="s">
        <v>81</v>
      </c>
      <c r="G25" s="201" t="s">
        <v>58</v>
      </c>
      <c r="H25" s="201" t="s">
        <v>571</v>
      </c>
      <c r="I25" s="201"/>
      <c r="J25" s="201"/>
      <c r="K25" s="228">
        <v>25</v>
      </c>
      <c r="L25" s="216">
        <v>25735</v>
      </c>
      <c r="M25" s="216">
        <v>25735</v>
      </c>
      <c r="N25" s="216">
        <v>21647.5</v>
      </c>
      <c r="O25" s="216">
        <v>21647.5</v>
      </c>
      <c r="P25" s="216">
        <v>20012.5</v>
      </c>
      <c r="Q25" s="216">
        <v>300</v>
      </c>
      <c r="R25" s="201"/>
      <c r="S25" s="236">
        <v>3.52</v>
      </c>
      <c r="T25" s="236">
        <v>3.52</v>
      </c>
      <c r="U25" s="236">
        <v>4.9279999999999999</v>
      </c>
      <c r="V25" s="236">
        <v>4.9279999999999999</v>
      </c>
      <c r="W25" s="236">
        <v>5.28</v>
      </c>
      <c r="X25" s="201"/>
      <c r="Y25" s="231"/>
      <c r="Z25" s="231"/>
      <c r="AA25" s="231"/>
      <c r="AB25" s="231"/>
      <c r="AC25" s="231"/>
      <c r="AD25" s="228"/>
      <c r="AE25" s="172">
        <v>1</v>
      </c>
      <c r="AF25" s="172">
        <v>1</v>
      </c>
      <c r="AG25" s="172"/>
      <c r="AH25" s="201"/>
      <c r="AI25" s="201"/>
      <c r="AJ25" s="201"/>
      <c r="AK25" s="201"/>
      <c r="AL25" s="201"/>
      <c r="AM25" s="201"/>
      <c r="AN25" s="201"/>
      <c r="AO25" s="201" t="s">
        <v>579</v>
      </c>
      <c r="AP25" s="201"/>
      <c r="AQ25" s="201" t="s">
        <v>630</v>
      </c>
      <c r="AR25" s="201"/>
      <c r="AS25" s="201"/>
      <c r="AT25" s="201"/>
    </row>
    <row r="26" spans="1:46" s="175" customFormat="1" x14ac:dyDescent="0.2">
      <c r="A26" s="206" t="s">
        <v>601</v>
      </c>
      <c r="B26" s="208" t="s">
        <v>631</v>
      </c>
      <c r="C26" s="206" t="s">
        <v>632</v>
      </c>
      <c r="D26" s="206" t="s">
        <v>436</v>
      </c>
      <c r="E26" s="176" t="str">
        <f>E25&amp;" + add costs"</f>
        <v>HP-e-groundwater + add costs</v>
      </c>
      <c r="F26" s="206" t="s">
        <v>81</v>
      </c>
      <c r="G26" s="206" t="s">
        <v>58</v>
      </c>
      <c r="H26" s="206" t="s">
        <v>617</v>
      </c>
      <c r="I26" s="206" t="s">
        <v>620</v>
      </c>
      <c r="J26" s="206" t="s">
        <v>633</v>
      </c>
      <c r="K26" s="237">
        <f>K25</f>
        <v>25</v>
      </c>
      <c r="L26" s="238">
        <f t="shared" ref="L26:Q26" si="5">L25*$AN26</f>
        <v>28308.500000000004</v>
      </c>
      <c r="M26" s="238">
        <f t="shared" si="5"/>
        <v>28308.500000000004</v>
      </c>
      <c r="N26" s="238">
        <f t="shared" si="5"/>
        <v>23812.250000000004</v>
      </c>
      <c r="O26" s="238">
        <f t="shared" si="5"/>
        <v>23812.250000000004</v>
      </c>
      <c r="P26" s="238">
        <f t="shared" si="5"/>
        <v>22013.75</v>
      </c>
      <c r="Q26" s="238">
        <f t="shared" si="5"/>
        <v>330</v>
      </c>
      <c r="R26" s="206"/>
      <c r="S26" s="239">
        <f>S25</f>
        <v>3.52</v>
      </c>
      <c r="T26" s="239">
        <f>T25</f>
        <v>3.52</v>
      </c>
      <c r="U26" s="239">
        <f>U25</f>
        <v>4.9279999999999999</v>
      </c>
      <c r="V26" s="239">
        <f>V25</f>
        <v>4.9279999999999999</v>
      </c>
      <c r="W26" s="239">
        <f>W25</f>
        <v>5.28</v>
      </c>
      <c r="X26" s="206"/>
      <c r="Y26" s="206"/>
      <c r="Z26" s="206"/>
      <c r="AA26" s="208"/>
      <c r="AB26" s="208"/>
      <c r="AC26" s="208"/>
      <c r="AD26" s="278"/>
      <c r="AE26" s="277">
        <f>AE25</f>
        <v>1</v>
      </c>
      <c r="AF26" s="277">
        <f>AF25</f>
        <v>1</v>
      </c>
      <c r="AG26" s="277">
        <v>1</v>
      </c>
      <c r="AH26" s="181"/>
      <c r="AI26" s="181"/>
      <c r="AJ26" s="181"/>
      <c r="AK26" s="181"/>
      <c r="AL26" s="181"/>
      <c r="AM26" s="181"/>
      <c r="AN26" s="181">
        <v>1.1000000000000001</v>
      </c>
      <c r="AO26" s="206" t="s">
        <v>579</v>
      </c>
      <c r="AP26" s="206"/>
      <c r="AQ26" s="206" t="s">
        <v>630</v>
      </c>
      <c r="AR26" s="206"/>
      <c r="AS26" s="206"/>
      <c r="AT26" s="206"/>
    </row>
    <row r="27" spans="1:46" x14ac:dyDescent="0.2">
      <c r="A27" s="201" t="s">
        <v>634</v>
      </c>
      <c r="B27" s="201" t="s">
        <v>635</v>
      </c>
      <c r="C27" s="201" t="s">
        <v>636</v>
      </c>
      <c r="D27" s="201" t="s">
        <v>436</v>
      </c>
      <c r="E27" s="169" t="s">
        <v>776</v>
      </c>
      <c r="F27" s="201" t="s">
        <v>585</v>
      </c>
      <c r="G27" s="201" t="s">
        <v>82</v>
      </c>
      <c r="H27" s="201" t="s">
        <v>571</v>
      </c>
      <c r="I27" s="201" t="s">
        <v>637</v>
      </c>
      <c r="J27" s="201" t="s">
        <v>638</v>
      </c>
      <c r="K27" s="240">
        <v>22</v>
      </c>
      <c r="L27" s="216">
        <v>28900</v>
      </c>
      <c r="M27" s="216">
        <v>28900</v>
      </c>
      <c r="N27" s="216">
        <v>27166</v>
      </c>
      <c r="O27" s="216">
        <v>27166</v>
      </c>
      <c r="P27" s="216">
        <v>27166</v>
      </c>
      <c r="Q27" s="216">
        <v>155</v>
      </c>
      <c r="R27" s="201"/>
      <c r="S27" s="241">
        <v>1.35</v>
      </c>
      <c r="T27" s="241">
        <v>1.45</v>
      </c>
      <c r="U27" s="241">
        <v>1.7</v>
      </c>
      <c r="V27" s="241">
        <v>1.7</v>
      </c>
      <c r="W27" s="241">
        <v>1.7</v>
      </c>
      <c r="X27" s="201"/>
      <c r="Y27" s="231"/>
      <c r="Z27" s="231"/>
      <c r="AA27" s="231"/>
      <c r="AB27" s="231"/>
      <c r="AC27" s="231"/>
      <c r="AD27" s="233"/>
      <c r="AE27" s="172">
        <v>1</v>
      </c>
      <c r="AF27" s="231">
        <v>1</v>
      </c>
      <c r="AG27" s="172"/>
      <c r="AH27" s="170"/>
      <c r="AI27" s="170"/>
      <c r="AJ27" s="170"/>
      <c r="AK27" s="170"/>
      <c r="AL27" s="170"/>
      <c r="AM27" s="170"/>
      <c r="AN27" s="170"/>
      <c r="AO27" s="201"/>
      <c r="AP27" s="201"/>
      <c r="AQ27" s="201"/>
      <c r="AR27" s="201"/>
      <c r="AS27" s="201"/>
      <c r="AT27" s="201"/>
    </row>
    <row r="28" spans="1:46" x14ac:dyDescent="0.2">
      <c r="A28" s="201" t="s">
        <v>634</v>
      </c>
      <c r="B28" s="201" t="s">
        <v>639</v>
      </c>
      <c r="C28" s="201" t="s">
        <v>640</v>
      </c>
      <c r="D28" s="201" t="s">
        <v>436</v>
      </c>
      <c r="E28" s="169" t="str">
        <f>E27&amp;" + add costs"</f>
        <v>GHP – direct-fired absorption heat pump air/brine to water + add costs</v>
      </c>
      <c r="F28" s="201" t="s">
        <v>585</v>
      </c>
      <c r="G28" s="201" t="s">
        <v>82</v>
      </c>
      <c r="H28" s="201" t="s">
        <v>617</v>
      </c>
      <c r="I28" s="201" t="s">
        <v>637</v>
      </c>
      <c r="J28" s="201" t="s">
        <v>638</v>
      </c>
      <c r="K28" s="215">
        <f>K27</f>
        <v>22</v>
      </c>
      <c r="L28" s="216">
        <f t="shared" ref="L28:Q28" si="6">L27*$AN28</f>
        <v>31790.000000000004</v>
      </c>
      <c r="M28" s="216">
        <f t="shared" si="6"/>
        <v>31790.000000000004</v>
      </c>
      <c r="N28" s="216">
        <f t="shared" si="6"/>
        <v>29882.600000000002</v>
      </c>
      <c r="O28" s="216">
        <f t="shared" si="6"/>
        <v>29882.600000000002</v>
      </c>
      <c r="P28" s="216">
        <f t="shared" si="6"/>
        <v>29882.600000000002</v>
      </c>
      <c r="Q28" s="216">
        <f t="shared" si="6"/>
        <v>170.5</v>
      </c>
      <c r="R28" s="201"/>
      <c r="S28" s="235">
        <f>S27</f>
        <v>1.35</v>
      </c>
      <c r="T28" s="235">
        <f>T27</f>
        <v>1.45</v>
      </c>
      <c r="U28" s="235">
        <f>U27</f>
        <v>1.7</v>
      </c>
      <c r="V28" s="235">
        <f>V27</f>
        <v>1.7</v>
      </c>
      <c r="W28" s="235">
        <f>W27</f>
        <v>1.7</v>
      </c>
      <c r="X28" s="201"/>
      <c r="Y28" s="201"/>
      <c r="Z28" s="201"/>
      <c r="AA28" s="203"/>
      <c r="AB28" s="203"/>
      <c r="AC28" s="203"/>
      <c r="AD28" s="228"/>
      <c r="AE28" s="182">
        <f>AE27</f>
        <v>1</v>
      </c>
      <c r="AF28" s="244">
        <f>AF27</f>
        <v>1</v>
      </c>
      <c r="AG28" s="172">
        <v>1</v>
      </c>
      <c r="AH28" s="180"/>
      <c r="AI28" s="180"/>
      <c r="AJ28" s="180"/>
      <c r="AK28" s="180"/>
      <c r="AL28" s="180"/>
      <c r="AM28" s="180"/>
      <c r="AN28" s="180">
        <v>1.1000000000000001</v>
      </c>
      <c r="AO28" s="201"/>
      <c r="AP28" s="201"/>
      <c r="AQ28" s="201"/>
      <c r="AR28" s="201"/>
      <c r="AS28" s="201"/>
      <c r="AT28" s="201"/>
    </row>
    <row r="29" spans="1:46" x14ac:dyDescent="0.2">
      <c r="A29" s="201" t="s">
        <v>634</v>
      </c>
      <c r="B29" s="201" t="s">
        <v>586</v>
      </c>
      <c r="C29" s="201" t="s">
        <v>641</v>
      </c>
      <c r="D29" s="201" t="s">
        <v>436</v>
      </c>
      <c r="E29" s="169" t="s">
        <v>777</v>
      </c>
      <c r="F29" s="201" t="s">
        <v>585</v>
      </c>
      <c r="G29" s="201" t="s">
        <v>82</v>
      </c>
      <c r="H29" s="201" t="s">
        <v>571</v>
      </c>
      <c r="I29" s="201"/>
      <c r="J29" s="201"/>
      <c r="K29" s="240">
        <v>20</v>
      </c>
      <c r="L29" s="242">
        <v>19496</v>
      </c>
      <c r="M29" s="242">
        <v>19496</v>
      </c>
      <c r="N29" s="242">
        <v>19496</v>
      </c>
      <c r="O29" s="242">
        <v>19496</v>
      </c>
      <c r="P29" s="242">
        <v>19496</v>
      </c>
      <c r="Q29" s="242">
        <v>272</v>
      </c>
      <c r="R29" s="243"/>
      <c r="S29" s="235">
        <v>1.1200000000000001</v>
      </c>
      <c r="T29" s="201">
        <v>1.1200000000000001</v>
      </c>
      <c r="U29" s="201">
        <v>1.1200000000000001</v>
      </c>
      <c r="V29" s="201">
        <v>1.1200000000000001</v>
      </c>
      <c r="W29" s="201">
        <v>1.1200000000000001</v>
      </c>
      <c r="X29" s="201"/>
      <c r="Y29" s="244"/>
      <c r="Z29" s="244"/>
      <c r="AA29" s="244"/>
      <c r="AB29" s="244"/>
      <c r="AC29" s="244"/>
      <c r="AD29" s="233"/>
      <c r="AE29" s="182">
        <v>1</v>
      </c>
      <c r="AF29" s="244">
        <v>1</v>
      </c>
      <c r="AG29" s="182"/>
      <c r="AH29" s="182"/>
      <c r="AI29" s="182"/>
      <c r="AJ29" s="182"/>
      <c r="AK29" s="182"/>
      <c r="AL29" s="182"/>
      <c r="AM29" s="182"/>
      <c r="AN29" s="182"/>
      <c r="AO29" s="201"/>
      <c r="AP29" s="201"/>
      <c r="AQ29" s="201"/>
      <c r="AR29" s="201"/>
      <c r="AS29" s="201"/>
      <c r="AT29" s="201"/>
    </row>
    <row r="30" spans="1:46" x14ac:dyDescent="0.2">
      <c r="A30" s="201" t="s">
        <v>634</v>
      </c>
      <c r="B30" s="201" t="s">
        <v>637</v>
      </c>
      <c r="C30" s="201" t="s">
        <v>642</v>
      </c>
      <c r="D30" s="201" t="s">
        <v>436</v>
      </c>
      <c r="E30" s="169" t="str">
        <f>E29&amp;" + add costs"</f>
        <v>GHP – adsorption heat pump brine to water + Solar thermal collectors + add costs</v>
      </c>
      <c r="F30" s="201" t="s">
        <v>585</v>
      </c>
      <c r="G30" s="201" t="s">
        <v>82</v>
      </c>
      <c r="H30" s="205" t="s">
        <v>617</v>
      </c>
      <c r="I30" s="205"/>
      <c r="J30" s="205"/>
      <c r="K30" s="215">
        <f>K29</f>
        <v>20</v>
      </c>
      <c r="L30" s="223">
        <f t="shared" ref="L30:Q30" si="7">L29*$AN30</f>
        <v>21445.600000000002</v>
      </c>
      <c r="M30" s="223">
        <f t="shared" si="7"/>
        <v>21445.600000000002</v>
      </c>
      <c r="N30" s="223">
        <f t="shared" si="7"/>
        <v>21445.600000000002</v>
      </c>
      <c r="O30" s="223">
        <f t="shared" si="7"/>
        <v>21445.600000000002</v>
      </c>
      <c r="P30" s="223">
        <f t="shared" si="7"/>
        <v>21445.600000000002</v>
      </c>
      <c r="Q30" s="223">
        <f t="shared" si="7"/>
        <v>299.20000000000005</v>
      </c>
      <c r="R30" s="203"/>
      <c r="S30" s="235">
        <f>S29</f>
        <v>1.1200000000000001</v>
      </c>
      <c r="T30" s="201">
        <f>T29</f>
        <v>1.1200000000000001</v>
      </c>
      <c r="U30" s="201">
        <f>U29</f>
        <v>1.1200000000000001</v>
      </c>
      <c r="V30" s="201">
        <f>V29</f>
        <v>1.1200000000000001</v>
      </c>
      <c r="W30" s="201">
        <f>W29</f>
        <v>1.1200000000000001</v>
      </c>
      <c r="X30" s="201"/>
      <c r="Y30" s="201"/>
      <c r="Z30" s="201"/>
      <c r="AA30" s="203"/>
      <c r="AB30" s="203"/>
      <c r="AC30" s="203"/>
      <c r="AD30" s="228"/>
      <c r="AE30" s="182">
        <f>AE29</f>
        <v>1</v>
      </c>
      <c r="AF30" s="244">
        <f>AF29</f>
        <v>1</v>
      </c>
      <c r="AG30" s="172">
        <v>1</v>
      </c>
      <c r="AH30" s="180"/>
      <c r="AI30" s="180"/>
      <c r="AJ30" s="180"/>
      <c r="AK30" s="180"/>
      <c r="AL30" s="180"/>
      <c r="AM30" s="180"/>
      <c r="AN30" s="180">
        <v>1.1000000000000001</v>
      </c>
      <c r="AO30" s="201"/>
      <c r="AP30" s="201"/>
      <c r="AQ30" s="201"/>
      <c r="AR30" s="201"/>
      <c r="AS30" s="201"/>
      <c r="AT30" s="201"/>
    </row>
    <row r="31" spans="1:46" x14ac:dyDescent="0.2">
      <c r="A31" s="201" t="s">
        <v>634</v>
      </c>
      <c r="B31" s="201" t="s">
        <v>643</v>
      </c>
      <c r="C31" s="201" t="s">
        <v>644</v>
      </c>
      <c r="D31" s="201" t="s">
        <v>436</v>
      </c>
      <c r="E31" s="169" t="s">
        <v>778</v>
      </c>
      <c r="F31" s="201" t="s">
        <v>585</v>
      </c>
      <c r="G31" s="201" t="s">
        <v>82</v>
      </c>
      <c r="H31" s="201" t="s">
        <v>571</v>
      </c>
      <c r="I31" s="201"/>
      <c r="J31" s="201"/>
      <c r="K31" s="228">
        <v>20</v>
      </c>
      <c r="L31" s="242">
        <v>47500</v>
      </c>
      <c r="M31" s="242">
        <v>47500</v>
      </c>
      <c r="N31" s="242">
        <v>47500</v>
      </c>
      <c r="O31" s="242">
        <v>47500</v>
      </c>
      <c r="P31" s="242">
        <v>47500</v>
      </c>
      <c r="Q31" s="245">
        <v>135</v>
      </c>
      <c r="R31" s="273"/>
      <c r="S31" s="241">
        <v>1.5</v>
      </c>
      <c r="T31" s="241">
        <v>1.55</v>
      </c>
      <c r="U31" s="241">
        <v>1.55</v>
      </c>
      <c r="V31" s="241">
        <v>1.6</v>
      </c>
      <c r="W31" s="241">
        <v>1.6</v>
      </c>
      <c r="X31" s="201"/>
      <c r="Y31" s="231"/>
      <c r="Z31" s="231"/>
      <c r="AA31" s="231"/>
      <c r="AB31" s="231"/>
      <c r="AC31" s="231"/>
      <c r="AD31" s="228"/>
      <c r="AE31" s="182">
        <v>1</v>
      </c>
      <c r="AF31" s="244">
        <v>1</v>
      </c>
      <c r="AG31" s="182"/>
      <c r="AH31" s="172"/>
      <c r="AI31" s="172"/>
      <c r="AJ31" s="172"/>
      <c r="AK31" s="172"/>
      <c r="AL31" s="172"/>
      <c r="AM31" s="172"/>
      <c r="AN31" s="172"/>
      <c r="AO31" s="203"/>
      <c r="AP31" s="203"/>
      <c r="AQ31" s="201" t="s">
        <v>645</v>
      </c>
      <c r="AR31" s="201"/>
      <c r="AS31" s="201"/>
      <c r="AT31" s="201"/>
    </row>
    <row r="32" spans="1:46" s="175" customFormat="1" x14ac:dyDescent="0.2">
      <c r="A32" s="206" t="s">
        <v>634</v>
      </c>
      <c r="B32" s="206" t="s">
        <v>646</v>
      </c>
      <c r="C32" s="206" t="s">
        <v>647</v>
      </c>
      <c r="D32" s="206" t="s">
        <v>436</v>
      </c>
      <c r="E32" s="176" t="str">
        <f>E31&amp;" + add costs"</f>
        <v>GHP – gas engine driven heat pump air/brine to water + add costs</v>
      </c>
      <c r="F32" s="206" t="s">
        <v>585</v>
      </c>
      <c r="G32" s="206" t="s">
        <v>82</v>
      </c>
      <c r="H32" s="206" t="s">
        <v>617</v>
      </c>
      <c r="I32" s="206"/>
      <c r="J32" s="206"/>
      <c r="K32" s="237">
        <f>K31</f>
        <v>20</v>
      </c>
      <c r="L32" s="238">
        <f t="shared" ref="L32:Q32" si="8">L31*$AN32</f>
        <v>52250.000000000007</v>
      </c>
      <c r="M32" s="238">
        <f t="shared" si="8"/>
        <v>52250.000000000007</v>
      </c>
      <c r="N32" s="238">
        <f t="shared" si="8"/>
        <v>52250.000000000007</v>
      </c>
      <c r="O32" s="238">
        <f t="shared" si="8"/>
        <v>52250.000000000007</v>
      </c>
      <c r="P32" s="238">
        <f t="shared" si="8"/>
        <v>52250.000000000007</v>
      </c>
      <c r="Q32" s="238">
        <f t="shared" si="8"/>
        <v>148.5</v>
      </c>
      <c r="R32" s="208"/>
      <c r="S32" s="239">
        <f>S31</f>
        <v>1.5</v>
      </c>
      <c r="T32" s="206">
        <f>T31</f>
        <v>1.55</v>
      </c>
      <c r="U32" s="206">
        <f>U31</f>
        <v>1.55</v>
      </c>
      <c r="V32" s="239">
        <f>V31</f>
        <v>1.6</v>
      </c>
      <c r="W32" s="239">
        <f>W31</f>
        <v>1.6</v>
      </c>
      <c r="X32" s="206"/>
      <c r="Y32" s="206"/>
      <c r="Z32" s="206"/>
      <c r="AA32" s="208"/>
      <c r="AB32" s="208"/>
      <c r="AC32" s="208"/>
      <c r="AD32" s="278"/>
      <c r="AE32" s="183">
        <f>AE31</f>
        <v>1</v>
      </c>
      <c r="AF32" s="279">
        <f>AF31</f>
        <v>1</v>
      </c>
      <c r="AG32" s="277">
        <v>1</v>
      </c>
      <c r="AH32" s="181"/>
      <c r="AI32" s="181"/>
      <c r="AJ32" s="181"/>
      <c r="AK32" s="181"/>
      <c r="AL32" s="181"/>
      <c r="AM32" s="181"/>
      <c r="AN32" s="181">
        <v>1.1000000000000001</v>
      </c>
      <c r="AO32" s="206"/>
      <c r="AP32" s="206"/>
      <c r="AQ32" s="206"/>
      <c r="AR32" s="206"/>
      <c r="AS32" s="206"/>
      <c r="AT32" s="206"/>
    </row>
    <row r="33" spans="1:46" s="173" customFormat="1" x14ac:dyDescent="0.2">
      <c r="A33" s="207" t="s">
        <v>388</v>
      </c>
      <c r="B33" s="201" t="s">
        <v>648</v>
      </c>
      <c r="C33" s="205" t="s">
        <v>649</v>
      </c>
      <c r="D33" s="205" t="s">
        <v>436</v>
      </c>
      <c r="E33" s="174" t="s">
        <v>779</v>
      </c>
      <c r="F33" s="201" t="s">
        <v>585</v>
      </c>
      <c r="G33" s="205"/>
      <c r="H33" s="201" t="s">
        <v>813</v>
      </c>
      <c r="I33" s="205"/>
      <c r="J33" s="205"/>
      <c r="K33" s="222">
        <v>10</v>
      </c>
      <c r="L33" s="246">
        <v>103980</v>
      </c>
      <c r="M33" s="246">
        <v>103980</v>
      </c>
      <c r="N33" s="246">
        <v>77985</v>
      </c>
      <c r="O33" s="246">
        <v>77985</v>
      </c>
      <c r="P33" s="246">
        <v>62388</v>
      </c>
      <c r="Q33" s="223"/>
      <c r="R33" s="205"/>
      <c r="S33" s="247">
        <v>0.26</v>
      </c>
      <c r="T33" s="247">
        <v>0.26</v>
      </c>
      <c r="U33" s="247">
        <v>0.26</v>
      </c>
      <c r="V33" s="247">
        <v>0.26</v>
      </c>
      <c r="W33" s="247">
        <v>0.26</v>
      </c>
      <c r="X33" s="205"/>
      <c r="Y33" s="205"/>
      <c r="Z33" s="205"/>
      <c r="AA33" s="212"/>
      <c r="AB33" s="212"/>
      <c r="AC33" s="212"/>
      <c r="AD33" s="275"/>
      <c r="AE33" s="172">
        <v>0.6</v>
      </c>
      <c r="AF33" s="280"/>
      <c r="AG33" s="276"/>
      <c r="AH33" s="248">
        <f t="shared" ref="AH33:AJ35" si="9">(AK33-S33)/S33</f>
        <v>2.4615384615384617</v>
      </c>
      <c r="AI33" s="248">
        <f t="shared" si="9"/>
        <v>2.4615384615384617</v>
      </c>
      <c r="AJ33" s="248">
        <f t="shared" si="9"/>
        <v>2.4615384615384617</v>
      </c>
      <c r="AK33" s="247">
        <v>0.9</v>
      </c>
      <c r="AL33" s="247">
        <v>0.9</v>
      </c>
      <c r="AM33" s="247">
        <v>0.9</v>
      </c>
      <c r="AN33" s="185"/>
      <c r="AO33" s="205" t="s">
        <v>650</v>
      </c>
      <c r="AP33" s="205"/>
      <c r="AQ33" s="205"/>
      <c r="AR33" s="205"/>
      <c r="AS33" s="205"/>
      <c r="AT33" s="205"/>
    </row>
    <row r="34" spans="1:46" s="173" customFormat="1" x14ac:dyDescent="0.2">
      <c r="A34" s="207" t="s">
        <v>388</v>
      </c>
      <c r="B34" s="201" t="s">
        <v>651</v>
      </c>
      <c r="C34" s="205" t="s">
        <v>652</v>
      </c>
      <c r="D34" s="205" t="s">
        <v>436</v>
      </c>
      <c r="E34" s="174" t="s">
        <v>779</v>
      </c>
      <c r="F34" s="201" t="s">
        <v>570</v>
      </c>
      <c r="G34" s="205"/>
      <c r="H34" s="201" t="s">
        <v>813</v>
      </c>
      <c r="I34" s="205"/>
      <c r="J34" s="205"/>
      <c r="K34" s="222">
        <v>10</v>
      </c>
      <c r="L34" s="246">
        <v>103980</v>
      </c>
      <c r="M34" s="246">
        <v>103980</v>
      </c>
      <c r="N34" s="246">
        <v>77985</v>
      </c>
      <c r="O34" s="246">
        <v>77985</v>
      </c>
      <c r="P34" s="246">
        <v>62388</v>
      </c>
      <c r="Q34" s="223"/>
      <c r="R34" s="205"/>
      <c r="S34" s="247">
        <v>0.26</v>
      </c>
      <c r="T34" s="247">
        <v>0.26</v>
      </c>
      <c r="U34" s="247">
        <v>0.26</v>
      </c>
      <c r="V34" s="247">
        <v>0.26</v>
      </c>
      <c r="W34" s="247">
        <v>0.26</v>
      </c>
      <c r="X34" s="205"/>
      <c r="Y34" s="205"/>
      <c r="Z34" s="205"/>
      <c r="AA34" s="212"/>
      <c r="AB34" s="212"/>
      <c r="AC34" s="212"/>
      <c r="AD34" s="275"/>
      <c r="AE34" s="172">
        <v>0.6</v>
      </c>
      <c r="AF34" s="280"/>
      <c r="AG34" s="276"/>
      <c r="AH34" s="248">
        <f t="shared" si="9"/>
        <v>2.4615384615384617</v>
      </c>
      <c r="AI34" s="248">
        <f t="shared" si="9"/>
        <v>2.4615384615384617</v>
      </c>
      <c r="AJ34" s="248">
        <f t="shared" si="9"/>
        <v>2.4615384615384617</v>
      </c>
      <c r="AK34" s="247">
        <v>0.9</v>
      </c>
      <c r="AL34" s="247">
        <v>0.9</v>
      </c>
      <c r="AM34" s="247">
        <v>0.9</v>
      </c>
      <c r="AN34" s="185"/>
      <c r="AO34" s="205"/>
      <c r="AP34" s="205"/>
      <c r="AQ34" s="205"/>
      <c r="AR34" s="205"/>
      <c r="AS34" s="205"/>
      <c r="AT34" s="205"/>
    </row>
    <row r="35" spans="1:46" x14ac:dyDescent="0.2">
      <c r="A35" s="207" t="s">
        <v>388</v>
      </c>
      <c r="B35" s="201" t="s">
        <v>653</v>
      </c>
      <c r="C35" s="201" t="s">
        <v>654</v>
      </c>
      <c r="D35" s="201" t="s">
        <v>436</v>
      </c>
      <c r="E35" s="169" t="s">
        <v>780</v>
      </c>
      <c r="F35" s="201" t="s">
        <v>585</v>
      </c>
      <c r="G35" s="201"/>
      <c r="H35" s="201" t="s">
        <v>813</v>
      </c>
      <c r="I35" s="201"/>
      <c r="J35" s="201"/>
      <c r="K35" s="215">
        <v>10</v>
      </c>
      <c r="L35" s="216">
        <v>23200</v>
      </c>
      <c r="M35" s="216">
        <v>19070</v>
      </c>
      <c r="N35" s="216">
        <v>16385.5</v>
      </c>
      <c r="O35" s="216">
        <v>16385.5</v>
      </c>
      <c r="P35" s="216">
        <v>16385.5</v>
      </c>
      <c r="Q35" s="216">
        <v>310</v>
      </c>
      <c r="R35" s="201"/>
      <c r="S35" s="249">
        <v>0.2</v>
      </c>
      <c r="T35" s="249">
        <v>0.22</v>
      </c>
      <c r="U35" s="249">
        <v>0.25</v>
      </c>
      <c r="V35" s="201"/>
      <c r="W35" s="201"/>
      <c r="X35" s="201"/>
      <c r="Y35" s="201"/>
      <c r="Z35" s="201"/>
      <c r="AA35" s="203"/>
      <c r="AB35" s="203"/>
      <c r="AC35" s="203"/>
      <c r="AD35" s="228"/>
      <c r="AE35" s="172">
        <v>0.6</v>
      </c>
      <c r="AF35" s="231"/>
      <c r="AG35" s="203"/>
      <c r="AH35" s="248">
        <f t="shared" si="9"/>
        <v>2.25</v>
      </c>
      <c r="AI35" s="248">
        <f t="shared" si="9"/>
        <v>2.1818181818181817</v>
      </c>
      <c r="AJ35" s="248">
        <f t="shared" si="9"/>
        <v>1.9</v>
      </c>
      <c r="AK35" s="250">
        <v>0.65</v>
      </c>
      <c r="AL35" s="250">
        <v>0.7</v>
      </c>
      <c r="AM35" s="250">
        <v>0.72499999999999998</v>
      </c>
      <c r="AN35" s="201"/>
      <c r="AO35" s="201" t="s">
        <v>579</v>
      </c>
      <c r="AP35" s="201"/>
      <c r="AQ35" s="201" t="s">
        <v>655</v>
      </c>
      <c r="AR35" s="201"/>
      <c r="AS35" s="201"/>
      <c r="AT35" s="201"/>
    </row>
    <row r="36" spans="1:46" x14ac:dyDescent="0.2">
      <c r="A36" s="207" t="s">
        <v>388</v>
      </c>
      <c r="B36" s="201" t="s">
        <v>656</v>
      </c>
      <c r="C36" s="201" t="s">
        <v>657</v>
      </c>
      <c r="D36" s="201" t="s">
        <v>436</v>
      </c>
      <c r="E36" s="169" t="s">
        <v>781</v>
      </c>
      <c r="F36" s="201" t="s">
        <v>570</v>
      </c>
      <c r="G36" s="201"/>
      <c r="H36" s="201" t="s">
        <v>813</v>
      </c>
      <c r="I36" s="201"/>
      <c r="J36" s="201"/>
      <c r="K36" s="215">
        <v>10</v>
      </c>
      <c r="L36" s="216">
        <v>24000</v>
      </c>
      <c r="M36" s="216">
        <v>19710</v>
      </c>
      <c r="N36" s="216">
        <v>16921.5</v>
      </c>
      <c r="O36" s="216">
        <v>16921.5</v>
      </c>
      <c r="P36" s="216">
        <v>16921.5</v>
      </c>
      <c r="Q36" s="216">
        <v>310</v>
      </c>
      <c r="R36" s="201"/>
      <c r="S36" s="249">
        <v>0.2</v>
      </c>
      <c r="T36" s="249">
        <v>0.22</v>
      </c>
      <c r="U36" s="249">
        <v>0.25</v>
      </c>
      <c r="V36" s="201"/>
      <c r="W36" s="201"/>
      <c r="X36" s="201"/>
      <c r="Y36" s="201"/>
      <c r="Z36" s="201"/>
      <c r="AA36" s="203"/>
      <c r="AB36" s="203"/>
      <c r="AC36" s="203"/>
      <c r="AD36" s="228"/>
      <c r="AE36" s="172">
        <v>0.6</v>
      </c>
      <c r="AF36" s="231"/>
      <c r="AG36" s="203"/>
      <c r="AH36" s="186">
        <f>AH35</f>
        <v>2.25</v>
      </c>
      <c r="AI36" s="186">
        <f>AI35</f>
        <v>2.1818181818181817</v>
      </c>
      <c r="AJ36" s="186">
        <f>AJ35</f>
        <v>1.9</v>
      </c>
      <c r="AK36" s="250">
        <v>0.65</v>
      </c>
      <c r="AL36" s="250">
        <v>0.7</v>
      </c>
      <c r="AM36" s="250">
        <v>0.72499999999999998</v>
      </c>
      <c r="AN36" s="201"/>
      <c r="AO36" s="201" t="s">
        <v>579</v>
      </c>
      <c r="AP36" s="201"/>
      <c r="AQ36" s="201"/>
      <c r="AR36" s="201"/>
      <c r="AS36" s="201"/>
      <c r="AT36" s="201"/>
    </row>
    <row r="37" spans="1:46" x14ac:dyDescent="0.2">
      <c r="A37" s="207" t="s">
        <v>388</v>
      </c>
      <c r="B37" s="201" t="s">
        <v>658</v>
      </c>
      <c r="C37" s="201" t="s">
        <v>659</v>
      </c>
      <c r="D37" s="201" t="s">
        <v>436</v>
      </c>
      <c r="E37" s="169" t="s">
        <v>659</v>
      </c>
      <c r="F37" s="201" t="s">
        <v>585</v>
      </c>
      <c r="G37" s="201"/>
      <c r="H37" s="201" t="s">
        <v>813</v>
      </c>
      <c r="I37" s="201"/>
      <c r="J37" s="201"/>
      <c r="K37" s="215">
        <v>10</v>
      </c>
      <c r="L37" s="216">
        <v>18500</v>
      </c>
      <c r="M37" s="216">
        <v>16750</v>
      </c>
      <c r="N37" s="216">
        <v>14125</v>
      </c>
      <c r="O37" s="216">
        <v>14125</v>
      </c>
      <c r="P37" s="216">
        <v>14125</v>
      </c>
      <c r="Q37" s="216">
        <v>250</v>
      </c>
      <c r="R37" s="201"/>
      <c r="S37" s="249">
        <v>0.12</v>
      </c>
      <c r="T37" s="249">
        <v>0.14000000000000001</v>
      </c>
      <c r="U37" s="249">
        <v>0.16</v>
      </c>
      <c r="V37" s="201"/>
      <c r="W37" s="201"/>
      <c r="X37" s="201"/>
      <c r="Y37" s="201"/>
      <c r="Z37" s="201"/>
      <c r="AA37" s="203"/>
      <c r="AB37" s="203"/>
      <c r="AC37" s="203"/>
      <c r="AD37" s="228"/>
      <c r="AE37" s="172">
        <v>0.6</v>
      </c>
      <c r="AF37" s="231"/>
      <c r="AG37" s="203"/>
      <c r="AH37" s="248">
        <f t="shared" ref="AH37:AJ39" si="10">(AK37-S37)/S37</f>
        <v>5.4583333333333339</v>
      </c>
      <c r="AI37" s="248">
        <f t="shared" si="10"/>
        <v>4.7142857142857144</v>
      </c>
      <c r="AJ37" s="248">
        <f t="shared" si="10"/>
        <v>4.1562499999999991</v>
      </c>
      <c r="AK37" s="250">
        <v>0.77500000000000002</v>
      </c>
      <c r="AL37" s="250">
        <v>0.8</v>
      </c>
      <c r="AM37" s="250">
        <v>0.82499999999999996</v>
      </c>
      <c r="AN37" s="201"/>
      <c r="AO37" s="201" t="s">
        <v>579</v>
      </c>
      <c r="AP37" s="201"/>
      <c r="AQ37" s="201" t="s">
        <v>660</v>
      </c>
      <c r="AR37" s="201"/>
      <c r="AS37" s="201"/>
      <c r="AT37" s="201"/>
    </row>
    <row r="38" spans="1:46" x14ac:dyDescent="0.2">
      <c r="A38" s="207" t="s">
        <v>388</v>
      </c>
      <c r="B38" s="201" t="s">
        <v>661</v>
      </c>
      <c r="C38" s="201" t="s">
        <v>662</v>
      </c>
      <c r="D38" s="201" t="s">
        <v>436</v>
      </c>
      <c r="E38" s="169" t="s">
        <v>782</v>
      </c>
      <c r="F38" s="201" t="s">
        <v>83</v>
      </c>
      <c r="G38" s="201"/>
      <c r="H38" s="201" t="s">
        <v>813</v>
      </c>
      <c r="I38" s="201"/>
      <c r="J38" s="201"/>
      <c r="K38" s="215">
        <v>10</v>
      </c>
      <c r="L38" s="216">
        <v>21491</v>
      </c>
      <c r="M38" s="216">
        <v>21491</v>
      </c>
      <c r="N38" s="216">
        <v>9091</v>
      </c>
      <c r="O38" s="216">
        <v>9091</v>
      </c>
      <c r="P38" s="216">
        <v>4131</v>
      </c>
      <c r="Q38" s="216">
        <v>274</v>
      </c>
      <c r="R38" s="201"/>
      <c r="S38" s="249">
        <v>0.375</v>
      </c>
      <c r="T38" s="249">
        <v>0.45</v>
      </c>
      <c r="U38" s="249">
        <v>0.47499999999999998</v>
      </c>
      <c r="V38" s="201"/>
      <c r="W38" s="201"/>
      <c r="X38" s="201"/>
      <c r="Y38" s="201"/>
      <c r="Z38" s="201"/>
      <c r="AA38" s="203"/>
      <c r="AB38" s="203"/>
      <c r="AC38" s="203"/>
      <c r="AD38" s="228"/>
      <c r="AE38" s="172">
        <v>0.6</v>
      </c>
      <c r="AF38" s="231"/>
      <c r="AG38" s="203"/>
      <c r="AH38" s="248">
        <f t="shared" si="10"/>
        <v>0.46666666666666679</v>
      </c>
      <c r="AI38" s="248">
        <f t="shared" si="10"/>
        <v>0.16666666666666669</v>
      </c>
      <c r="AJ38" s="248">
        <f t="shared" si="10"/>
        <v>0.10526315789473695</v>
      </c>
      <c r="AK38" s="250">
        <v>0.55000000000000004</v>
      </c>
      <c r="AL38" s="250">
        <v>0.52500000000000002</v>
      </c>
      <c r="AM38" s="250">
        <v>0.52500000000000002</v>
      </c>
      <c r="AN38" s="201"/>
      <c r="AO38" s="201" t="s">
        <v>579</v>
      </c>
      <c r="AP38" s="201"/>
      <c r="AQ38" s="201" t="s">
        <v>663</v>
      </c>
      <c r="AR38" s="201"/>
      <c r="AS38" s="201"/>
      <c r="AT38" s="201"/>
    </row>
    <row r="39" spans="1:46" s="173" customFormat="1" x14ac:dyDescent="0.2">
      <c r="A39" s="209" t="s">
        <v>388</v>
      </c>
      <c r="B39" s="205" t="s">
        <v>664</v>
      </c>
      <c r="C39" s="205" t="s">
        <v>665</v>
      </c>
      <c r="D39" s="205" t="s">
        <v>436</v>
      </c>
      <c r="E39" s="169" t="s">
        <v>783</v>
      </c>
      <c r="F39" s="205" t="s">
        <v>92</v>
      </c>
      <c r="G39" s="205"/>
      <c r="H39" s="201" t="s">
        <v>813</v>
      </c>
      <c r="I39" s="205"/>
      <c r="J39" s="205"/>
      <c r="K39" s="222">
        <v>10</v>
      </c>
      <c r="L39" s="223">
        <v>13000</v>
      </c>
      <c r="M39" s="223">
        <v>6900</v>
      </c>
      <c r="N39" s="223">
        <v>5100</v>
      </c>
      <c r="O39" s="223"/>
      <c r="P39" s="223"/>
      <c r="Q39" s="223">
        <v>500</v>
      </c>
      <c r="R39" s="205"/>
      <c r="S39" s="249">
        <v>0.47499999999999998</v>
      </c>
      <c r="T39" s="249">
        <v>0.505</v>
      </c>
      <c r="U39" s="249">
        <v>0.54500000000000004</v>
      </c>
      <c r="V39" s="205"/>
      <c r="W39" s="205"/>
      <c r="X39" s="205"/>
      <c r="Y39" s="205"/>
      <c r="Z39" s="205"/>
      <c r="AA39" s="212"/>
      <c r="AB39" s="212"/>
      <c r="AC39" s="212"/>
      <c r="AD39" s="275"/>
      <c r="AE39" s="172">
        <v>0.6</v>
      </c>
      <c r="AF39" s="274"/>
      <c r="AG39" s="212"/>
      <c r="AH39" s="251">
        <f t="shared" si="10"/>
        <v>-0.15789473684210517</v>
      </c>
      <c r="AI39" s="251">
        <f t="shared" si="10"/>
        <v>-0.12871287128712872</v>
      </c>
      <c r="AJ39" s="251">
        <f t="shared" si="10"/>
        <v>-0.17431192660550462</v>
      </c>
      <c r="AK39" s="250">
        <v>0.4</v>
      </c>
      <c r="AL39" s="250">
        <v>0.44</v>
      </c>
      <c r="AM39" s="250">
        <v>0.45</v>
      </c>
      <c r="AN39" s="205"/>
      <c r="AO39" s="205" t="s">
        <v>579</v>
      </c>
      <c r="AP39" s="205"/>
      <c r="AQ39" s="205" t="s">
        <v>666</v>
      </c>
      <c r="AR39" s="205"/>
      <c r="AS39" s="205"/>
      <c r="AT39" s="205"/>
    </row>
    <row r="40" spans="1:46" s="173" customFormat="1" x14ac:dyDescent="0.2">
      <c r="A40" s="202" t="s">
        <v>799</v>
      </c>
      <c r="B40" s="201" t="s">
        <v>800</v>
      </c>
      <c r="C40" s="203" t="s">
        <v>667</v>
      </c>
      <c r="D40" s="203" t="s">
        <v>436</v>
      </c>
      <c r="E40" s="174" t="s">
        <v>769</v>
      </c>
      <c r="F40" s="201" t="s">
        <v>610</v>
      </c>
      <c r="G40" s="201"/>
      <c r="H40" s="205" t="s">
        <v>571</v>
      </c>
      <c r="I40" s="205"/>
      <c r="J40" s="205"/>
      <c r="K40" s="222">
        <f>K4</f>
        <v>20</v>
      </c>
      <c r="L40" s="223">
        <v>4309</v>
      </c>
      <c r="M40" s="223">
        <v>4309</v>
      </c>
      <c r="N40" s="223">
        <v>4309</v>
      </c>
      <c r="O40" s="223">
        <v>4309</v>
      </c>
      <c r="P40" s="223">
        <v>4309</v>
      </c>
      <c r="Q40" s="223">
        <v>226</v>
      </c>
      <c r="R40" s="205"/>
      <c r="S40" s="224">
        <v>0.84679858006836706</v>
      </c>
      <c r="T40" s="224">
        <v>0.84679858006836706</v>
      </c>
      <c r="U40" s="224">
        <v>0.84679858006836706</v>
      </c>
      <c r="V40" s="224">
        <v>0.84679858006836706</v>
      </c>
      <c r="W40" s="224">
        <v>0.84679858006836706</v>
      </c>
      <c r="X40" s="184"/>
      <c r="Y40" s="205"/>
      <c r="Z40" s="205"/>
      <c r="AA40" s="212"/>
      <c r="AB40" s="212"/>
      <c r="AC40" s="212"/>
      <c r="AD40" s="275"/>
      <c r="AE40" s="274">
        <v>0.4</v>
      </c>
      <c r="AF40" s="274">
        <v>1</v>
      </c>
      <c r="AG40" s="212"/>
      <c r="AH40" s="251"/>
      <c r="AI40" s="251"/>
      <c r="AJ40" s="251"/>
      <c r="AK40" s="187"/>
      <c r="AL40" s="187"/>
      <c r="AM40" s="187"/>
      <c r="AN40" s="205"/>
      <c r="AO40" s="205"/>
      <c r="AP40" s="205"/>
      <c r="AQ40" s="205"/>
      <c r="AR40" s="205"/>
      <c r="AS40" s="205"/>
      <c r="AT40" s="205"/>
    </row>
    <row r="41" spans="1:46" s="175" customFormat="1" x14ac:dyDescent="0.2">
      <c r="A41" s="210" t="s">
        <v>799</v>
      </c>
      <c r="B41" s="206" t="s">
        <v>801</v>
      </c>
      <c r="C41" s="208" t="s">
        <v>668</v>
      </c>
      <c r="D41" s="208" t="s">
        <v>436</v>
      </c>
      <c r="E41" s="176" t="s">
        <v>766</v>
      </c>
      <c r="F41" s="206" t="s">
        <v>669</v>
      </c>
      <c r="G41" s="206"/>
      <c r="H41" s="206" t="s">
        <v>571</v>
      </c>
      <c r="I41" s="206"/>
      <c r="J41" s="206"/>
      <c r="K41" s="237">
        <f>K8</f>
        <v>22</v>
      </c>
      <c r="L41" s="238">
        <v>5527</v>
      </c>
      <c r="M41" s="238">
        <v>5527</v>
      </c>
      <c r="N41" s="238">
        <v>5527</v>
      </c>
      <c r="O41" s="238">
        <v>5527</v>
      </c>
      <c r="P41" s="238">
        <v>5527</v>
      </c>
      <c r="Q41" s="238">
        <v>185</v>
      </c>
      <c r="R41" s="206"/>
      <c r="S41" s="252">
        <v>0.84595205954248598</v>
      </c>
      <c r="T41" s="252">
        <v>0.84595205954248598</v>
      </c>
      <c r="U41" s="252">
        <v>0.84595205954248598</v>
      </c>
      <c r="V41" s="252">
        <v>0.84595205954248598</v>
      </c>
      <c r="W41" s="252">
        <v>0.84595205954248598</v>
      </c>
      <c r="X41" s="188"/>
      <c r="Y41" s="206"/>
      <c r="Z41" s="206"/>
      <c r="AA41" s="208"/>
      <c r="AB41" s="208"/>
      <c r="AC41" s="208"/>
      <c r="AD41" s="278"/>
      <c r="AE41" s="227">
        <v>0.4</v>
      </c>
      <c r="AF41" s="227">
        <v>1</v>
      </c>
      <c r="AG41" s="208"/>
      <c r="AH41" s="253"/>
      <c r="AI41" s="253"/>
      <c r="AJ41" s="253"/>
      <c r="AK41" s="189"/>
      <c r="AL41" s="189"/>
      <c r="AM41" s="189"/>
      <c r="AN41" s="206"/>
      <c r="AO41" s="206"/>
      <c r="AP41" s="206"/>
      <c r="AQ41" s="206"/>
      <c r="AR41" s="206"/>
      <c r="AS41" s="206"/>
      <c r="AT41" s="206"/>
    </row>
    <row r="42" spans="1:46" s="173" customFormat="1" x14ac:dyDescent="0.2">
      <c r="A42" s="211"/>
      <c r="B42" s="205"/>
      <c r="C42" s="212"/>
      <c r="D42" s="212"/>
      <c r="E42" s="174"/>
      <c r="F42" s="205"/>
      <c r="G42" s="205"/>
      <c r="H42" s="205"/>
      <c r="I42" s="205"/>
      <c r="J42" s="205"/>
      <c r="K42" s="222"/>
      <c r="L42" s="223"/>
      <c r="M42" s="223"/>
      <c r="N42" s="223"/>
      <c r="O42" s="223"/>
      <c r="P42" s="223"/>
      <c r="Q42" s="223"/>
      <c r="R42" s="205"/>
      <c r="S42" s="224"/>
      <c r="T42" s="224"/>
      <c r="U42" s="224"/>
      <c r="V42" s="224"/>
      <c r="W42" s="224"/>
      <c r="X42" s="184"/>
      <c r="Y42" s="205"/>
      <c r="Z42" s="205"/>
      <c r="AA42" s="212"/>
      <c r="AB42" s="212"/>
      <c r="AC42" s="212"/>
      <c r="AD42" s="275"/>
      <c r="AE42" s="274"/>
      <c r="AF42" s="274"/>
      <c r="AG42" s="212"/>
      <c r="AH42" s="251"/>
      <c r="AI42" s="251"/>
      <c r="AJ42" s="251"/>
      <c r="AK42" s="187"/>
      <c r="AL42" s="187"/>
      <c r="AM42" s="187"/>
      <c r="AN42" s="205"/>
      <c r="AO42" s="205"/>
      <c r="AP42" s="205"/>
      <c r="AQ42" s="205"/>
      <c r="AR42" s="205"/>
      <c r="AS42" s="205"/>
      <c r="AT42" s="205"/>
    </row>
    <row r="43" spans="1:46" s="168" customFormat="1" ht="28.5" customHeight="1" x14ac:dyDescent="0.2">
      <c r="A43" s="289" t="s">
        <v>531</v>
      </c>
      <c r="B43" s="289" t="s">
        <v>532</v>
      </c>
      <c r="C43" s="289" t="s">
        <v>533</v>
      </c>
      <c r="D43" s="289" t="s">
        <v>534</v>
      </c>
      <c r="E43" s="289" t="s">
        <v>535</v>
      </c>
      <c r="F43" s="290" t="s">
        <v>301</v>
      </c>
      <c r="G43" s="290" t="s">
        <v>536</v>
      </c>
      <c r="H43" s="290" t="s">
        <v>537</v>
      </c>
      <c r="I43" s="290" t="s">
        <v>538</v>
      </c>
      <c r="J43" s="290" t="s">
        <v>539</v>
      </c>
      <c r="K43" s="291" t="s">
        <v>216</v>
      </c>
      <c r="L43" s="214" t="s">
        <v>807</v>
      </c>
      <c r="M43" s="214" t="s">
        <v>387</v>
      </c>
      <c r="N43" s="214" t="s">
        <v>540</v>
      </c>
      <c r="O43" s="214" t="s">
        <v>541</v>
      </c>
      <c r="P43" s="214" t="s">
        <v>364</v>
      </c>
      <c r="Q43" s="214" t="s">
        <v>808</v>
      </c>
      <c r="R43" s="214" t="s">
        <v>809</v>
      </c>
      <c r="S43" s="291" t="s">
        <v>258</v>
      </c>
      <c r="T43" s="291" t="s">
        <v>542</v>
      </c>
      <c r="U43" s="291" t="s">
        <v>543</v>
      </c>
      <c r="V43" s="291" t="s">
        <v>544</v>
      </c>
      <c r="W43" s="291" t="s">
        <v>545</v>
      </c>
      <c r="X43" s="291" t="s">
        <v>546</v>
      </c>
      <c r="Y43" s="291" t="s">
        <v>547</v>
      </c>
      <c r="Z43" s="291" t="s">
        <v>548</v>
      </c>
      <c r="AA43" s="291" t="s">
        <v>549</v>
      </c>
      <c r="AB43" s="291" t="s">
        <v>550</v>
      </c>
      <c r="AC43" s="291" t="s">
        <v>551</v>
      </c>
      <c r="AD43" s="291" t="s">
        <v>292</v>
      </c>
      <c r="AE43" s="291" t="s">
        <v>552</v>
      </c>
      <c r="AF43" s="291" t="s">
        <v>553</v>
      </c>
      <c r="AG43" s="291" t="s">
        <v>554</v>
      </c>
      <c r="AH43" s="291" t="s">
        <v>389</v>
      </c>
      <c r="AI43" s="291" t="s">
        <v>555</v>
      </c>
      <c r="AJ43" s="291" t="s">
        <v>556</v>
      </c>
      <c r="AK43" s="291" t="s">
        <v>557</v>
      </c>
      <c r="AL43" s="291" t="s">
        <v>558</v>
      </c>
      <c r="AM43" s="291" t="s">
        <v>559</v>
      </c>
      <c r="AN43" s="291" t="s">
        <v>560</v>
      </c>
      <c r="AO43" s="292" t="s">
        <v>561</v>
      </c>
      <c r="AP43" s="292" t="s">
        <v>562</v>
      </c>
      <c r="AQ43" s="293" t="s">
        <v>563</v>
      </c>
      <c r="AR43" s="291" t="s">
        <v>564</v>
      </c>
      <c r="AS43" s="291" t="s">
        <v>565</v>
      </c>
      <c r="AT43" s="200"/>
    </row>
    <row r="44" spans="1:46" x14ac:dyDescent="0.2">
      <c r="A44" s="199" t="s">
        <v>670</v>
      </c>
      <c r="B44" s="199"/>
      <c r="C44" s="199"/>
      <c r="D44" s="199"/>
      <c r="E44" s="167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201"/>
      <c r="AS44" s="201"/>
      <c r="AT44" s="201"/>
    </row>
    <row r="45" spans="1:46" s="173" customFormat="1" x14ac:dyDescent="0.2">
      <c r="A45" s="200" t="s">
        <v>567</v>
      </c>
      <c r="B45" s="201" t="s">
        <v>671</v>
      </c>
      <c r="C45" s="200" t="s">
        <v>569</v>
      </c>
      <c r="D45" s="200" t="s">
        <v>672</v>
      </c>
      <c r="E45" s="190" t="str">
        <f t="shared" ref="E45:G60" si="11">IF(E4="","",E4)</f>
        <v>HOB-oil</v>
      </c>
      <c r="F45" s="254" t="str">
        <f t="shared" si="11"/>
        <v>RSDOIL, RSDBDL</v>
      </c>
      <c r="G45" s="254" t="str">
        <f t="shared" si="11"/>
        <v/>
      </c>
      <c r="H45" s="201" t="s">
        <v>825</v>
      </c>
      <c r="I45" s="205"/>
      <c r="J45" s="205"/>
      <c r="K45" s="254">
        <f t="shared" ref="K45:AQ52" si="12">IF(K4="","",K4)</f>
        <v>20</v>
      </c>
      <c r="L45" s="255">
        <f t="shared" si="12"/>
        <v>5527</v>
      </c>
      <c r="M45" s="255">
        <f t="shared" si="12"/>
        <v>5527</v>
      </c>
      <c r="N45" s="255">
        <f t="shared" si="12"/>
        <v>5527</v>
      </c>
      <c r="O45" s="255">
        <f t="shared" si="12"/>
        <v>5527</v>
      </c>
      <c r="P45" s="255">
        <f t="shared" si="12"/>
        <v>5527</v>
      </c>
      <c r="Q45" s="255">
        <f t="shared" si="12"/>
        <v>185</v>
      </c>
      <c r="R45" s="254" t="str">
        <f t="shared" si="12"/>
        <v/>
      </c>
      <c r="S45" s="256">
        <f t="shared" si="12"/>
        <v>0.84595205954248598</v>
      </c>
      <c r="T45" s="256">
        <f t="shared" si="12"/>
        <v>0.84595205954248598</v>
      </c>
      <c r="U45" s="256">
        <f t="shared" si="12"/>
        <v>0.84595205954248598</v>
      </c>
      <c r="V45" s="256">
        <f t="shared" si="12"/>
        <v>0.84595205954248598</v>
      </c>
      <c r="W45" s="256">
        <f t="shared" si="12"/>
        <v>0.84595205954248598</v>
      </c>
      <c r="X45" s="254" t="str">
        <f t="shared" si="12"/>
        <v/>
      </c>
      <c r="Y45" s="254" t="str">
        <f t="shared" si="12"/>
        <v/>
      </c>
      <c r="Z45" s="254" t="str">
        <f t="shared" si="12"/>
        <v/>
      </c>
      <c r="AA45" s="254" t="str">
        <f t="shared" si="12"/>
        <v/>
      </c>
      <c r="AB45" s="254" t="str">
        <f t="shared" si="12"/>
        <v/>
      </c>
      <c r="AC45" s="254" t="str">
        <f t="shared" si="12"/>
        <v/>
      </c>
      <c r="AD45" s="254" t="str">
        <f t="shared" si="12"/>
        <v/>
      </c>
      <c r="AE45" s="196">
        <f t="shared" si="12"/>
        <v>1</v>
      </c>
      <c r="AF45" s="196">
        <f t="shared" si="12"/>
        <v>1</v>
      </c>
      <c r="AG45" s="196" t="str">
        <f t="shared" si="12"/>
        <v/>
      </c>
      <c r="AH45" s="254" t="str">
        <f t="shared" si="12"/>
        <v/>
      </c>
      <c r="AI45" s="254" t="str">
        <f t="shared" si="12"/>
        <v/>
      </c>
      <c r="AJ45" s="254" t="str">
        <f t="shared" si="12"/>
        <v/>
      </c>
      <c r="AK45" s="254" t="str">
        <f t="shared" si="12"/>
        <v/>
      </c>
      <c r="AL45" s="254" t="str">
        <f t="shared" si="12"/>
        <v/>
      </c>
      <c r="AM45" s="254" t="str">
        <f t="shared" si="12"/>
        <v/>
      </c>
      <c r="AN45" s="254" t="str">
        <f t="shared" si="12"/>
        <v/>
      </c>
      <c r="AO45" s="254" t="str">
        <f t="shared" si="12"/>
        <v/>
      </c>
      <c r="AP45" s="254"/>
      <c r="AQ45" s="254" t="str">
        <f t="shared" si="12"/>
        <v/>
      </c>
      <c r="AR45" s="205"/>
      <c r="AS45" s="205"/>
      <c r="AT45" s="205"/>
    </row>
    <row r="46" spans="1:46" s="173" customFormat="1" x14ac:dyDescent="0.2">
      <c r="A46" s="201" t="s">
        <v>567</v>
      </c>
      <c r="B46" s="201" t="s">
        <v>673</v>
      </c>
      <c r="C46" s="200" t="s">
        <v>575</v>
      </c>
      <c r="D46" s="200" t="s">
        <v>672</v>
      </c>
      <c r="E46" s="190" t="str">
        <f t="shared" si="11"/>
        <v>HOB-oil</v>
      </c>
      <c r="F46" s="254" t="str">
        <f t="shared" si="11"/>
        <v>RSDOIL, RSDBDL</v>
      </c>
      <c r="G46" s="254" t="str">
        <f t="shared" si="11"/>
        <v/>
      </c>
      <c r="H46" s="201" t="s">
        <v>825</v>
      </c>
      <c r="I46" s="205"/>
      <c r="J46" s="205"/>
      <c r="K46" s="254">
        <f t="shared" si="12"/>
        <v>20</v>
      </c>
      <c r="L46" s="255">
        <f t="shared" si="12"/>
        <v>5527</v>
      </c>
      <c r="M46" s="255">
        <f t="shared" si="12"/>
        <v>5527</v>
      </c>
      <c r="N46" s="255">
        <f t="shared" si="12"/>
        <v>5527</v>
      </c>
      <c r="O46" s="255">
        <f t="shared" si="12"/>
        <v>5527</v>
      </c>
      <c r="P46" s="255">
        <f t="shared" si="12"/>
        <v>5527</v>
      </c>
      <c r="Q46" s="255">
        <f t="shared" si="12"/>
        <v>185</v>
      </c>
      <c r="R46" s="254" t="str">
        <f t="shared" si="12"/>
        <v/>
      </c>
      <c r="S46" s="256">
        <f t="shared" si="12"/>
        <v>0.84595205954248598</v>
      </c>
      <c r="T46" s="256">
        <f t="shared" si="12"/>
        <v>0.84595205954248598</v>
      </c>
      <c r="U46" s="256">
        <f t="shared" si="12"/>
        <v>0.84595205954248598</v>
      </c>
      <c r="V46" s="256">
        <f t="shared" si="12"/>
        <v>0.84595205954248598</v>
      </c>
      <c r="W46" s="256">
        <f t="shared" si="12"/>
        <v>0.84595205954248598</v>
      </c>
      <c r="X46" s="254" t="str">
        <f t="shared" si="12"/>
        <v/>
      </c>
      <c r="Y46" s="254" t="str">
        <f t="shared" si="12"/>
        <v/>
      </c>
      <c r="Z46" s="254" t="str">
        <f t="shared" si="12"/>
        <v/>
      </c>
      <c r="AA46" s="254" t="str">
        <f t="shared" si="12"/>
        <v/>
      </c>
      <c r="AB46" s="254" t="str">
        <f t="shared" si="12"/>
        <v/>
      </c>
      <c r="AC46" s="254" t="str">
        <f t="shared" si="12"/>
        <v/>
      </c>
      <c r="AD46" s="254" t="str">
        <f t="shared" si="12"/>
        <v/>
      </c>
      <c r="AE46" s="196" t="str">
        <f t="shared" si="12"/>
        <v/>
      </c>
      <c r="AF46" s="196" t="str">
        <f t="shared" si="12"/>
        <v/>
      </c>
      <c r="AG46" s="196" t="str">
        <f t="shared" si="12"/>
        <v/>
      </c>
      <c r="AH46" s="254" t="str">
        <f t="shared" si="12"/>
        <v/>
      </c>
      <c r="AI46" s="254" t="str">
        <f t="shared" si="12"/>
        <v/>
      </c>
      <c r="AJ46" s="254" t="str">
        <f t="shared" si="12"/>
        <v/>
      </c>
      <c r="AK46" s="254" t="str">
        <f t="shared" si="12"/>
        <v/>
      </c>
      <c r="AL46" s="254" t="str">
        <f t="shared" si="12"/>
        <v/>
      </c>
      <c r="AM46" s="254" t="str">
        <f t="shared" si="12"/>
        <v/>
      </c>
      <c r="AN46" s="254" t="str">
        <f t="shared" si="12"/>
        <v/>
      </c>
      <c r="AO46" s="254" t="str">
        <f t="shared" si="12"/>
        <v/>
      </c>
      <c r="AP46" s="254"/>
      <c r="AQ46" s="254" t="str">
        <f t="shared" si="12"/>
        <v/>
      </c>
      <c r="AR46" s="205"/>
      <c r="AS46" s="205"/>
      <c r="AT46" s="205"/>
    </row>
    <row r="47" spans="1:46" s="173" customFormat="1" x14ac:dyDescent="0.2">
      <c r="A47" s="202" t="s">
        <v>799</v>
      </c>
      <c r="B47" s="201" t="str">
        <f>B46&amp;"-"&amp;RIGHT(F47,3)&amp;"spl"</f>
        <v>R_ES-SH-DH-70_OIL02-SOLspl</v>
      </c>
      <c r="C47" s="203" t="s">
        <v>578</v>
      </c>
      <c r="D47" s="203" t="s">
        <v>672</v>
      </c>
      <c r="E47" s="190" t="str">
        <f t="shared" si="11"/>
        <v>Solar heating and hot tap water</v>
      </c>
      <c r="F47" s="254" t="str">
        <f t="shared" si="11"/>
        <v>RSDSOL</v>
      </c>
      <c r="G47" s="254" t="str">
        <f t="shared" si="11"/>
        <v/>
      </c>
      <c r="H47" s="201" t="s">
        <v>825</v>
      </c>
      <c r="I47" s="205"/>
      <c r="J47" s="205"/>
      <c r="K47" s="254">
        <f t="shared" si="12"/>
        <v>20</v>
      </c>
      <c r="L47" s="255">
        <f t="shared" si="12"/>
        <v>6294</v>
      </c>
      <c r="M47" s="255">
        <f t="shared" si="12"/>
        <v>6000.36</v>
      </c>
      <c r="N47" s="255">
        <f t="shared" si="12"/>
        <v>5755.66</v>
      </c>
      <c r="O47" s="255">
        <f t="shared" si="12"/>
        <v>4678.9799999999996</v>
      </c>
      <c r="P47" s="255">
        <f t="shared" si="12"/>
        <v>4678.9799999999996</v>
      </c>
      <c r="Q47" s="255">
        <f t="shared" si="12"/>
        <v>115</v>
      </c>
      <c r="R47" s="254" t="str">
        <f t="shared" si="12"/>
        <v/>
      </c>
      <c r="S47" s="256">
        <f t="shared" si="12"/>
        <v>1</v>
      </c>
      <c r="T47" s="256" t="str">
        <f t="shared" si="12"/>
        <v/>
      </c>
      <c r="U47" s="256" t="str">
        <f t="shared" si="12"/>
        <v/>
      </c>
      <c r="V47" s="256" t="str">
        <f t="shared" si="12"/>
        <v/>
      </c>
      <c r="W47" s="256" t="str">
        <f t="shared" si="12"/>
        <v/>
      </c>
      <c r="X47" s="254" t="str">
        <f t="shared" si="12"/>
        <v/>
      </c>
      <c r="Y47" s="254" t="str">
        <f t="shared" si="12"/>
        <v/>
      </c>
      <c r="Z47" s="254" t="str">
        <f t="shared" si="12"/>
        <v/>
      </c>
      <c r="AA47" s="254" t="str">
        <f t="shared" si="12"/>
        <v/>
      </c>
      <c r="AB47" s="254" t="str">
        <f t="shared" si="12"/>
        <v/>
      </c>
      <c r="AC47" s="254" t="str">
        <f t="shared" si="12"/>
        <v/>
      </c>
      <c r="AD47" s="254" t="str">
        <f t="shared" si="12"/>
        <v/>
      </c>
      <c r="AE47" s="196">
        <f t="shared" si="12"/>
        <v>0.15</v>
      </c>
      <c r="AF47" s="196">
        <f t="shared" si="12"/>
        <v>0.15</v>
      </c>
      <c r="AG47" s="196" t="str">
        <f t="shared" si="12"/>
        <v/>
      </c>
      <c r="AH47" s="254" t="str">
        <f t="shared" si="12"/>
        <v/>
      </c>
      <c r="AI47" s="254" t="str">
        <f t="shared" si="12"/>
        <v/>
      </c>
      <c r="AJ47" s="254" t="str">
        <f t="shared" si="12"/>
        <v/>
      </c>
      <c r="AK47" s="254" t="str">
        <f t="shared" si="12"/>
        <v/>
      </c>
      <c r="AL47" s="254" t="str">
        <f t="shared" si="12"/>
        <v/>
      </c>
      <c r="AM47" s="254" t="str">
        <f t="shared" si="12"/>
        <v/>
      </c>
      <c r="AN47" s="254" t="str">
        <f t="shared" si="12"/>
        <v/>
      </c>
      <c r="AO47" s="254" t="str">
        <f t="shared" si="12"/>
        <v>Y</v>
      </c>
      <c r="AP47" s="254"/>
      <c r="AQ47" s="254" t="str">
        <f t="shared" si="12"/>
        <v>Solar share 10-20 % (used 15%) as Gas+Solar</v>
      </c>
      <c r="AR47" s="205"/>
      <c r="AS47" s="205"/>
      <c r="AT47" s="205"/>
    </row>
    <row r="48" spans="1:46" s="173" customFormat="1" x14ac:dyDescent="0.2">
      <c r="A48" s="202" t="s">
        <v>799</v>
      </c>
      <c r="B48" s="201" t="str">
        <f>B46&amp;"-"&amp;RIGHT(F48,3)&amp;"spl"</f>
        <v>R_ES-SH-DH-70_OIL02-BIOspl</v>
      </c>
      <c r="C48" s="203" t="s">
        <v>581</v>
      </c>
      <c r="D48" s="203" t="s">
        <v>672</v>
      </c>
      <c r="E48" s="190" t="str">
        <f t="shared" si="11"/>
        <v>HOB-wood</v>
      </c>
      <c r="F48" s="254" t="str">
        <f t="shared" si="11"/>
        <v>RSDBIO</v>
      </c>
      <c r="G48" s="254" t="str">
        <f t="shared" si="11"/>
        <v/>
      </c>
      <c r="H48" s="201" t="s">
        <v>674</v>
      </c>
      <c r="I48" s="205"/>
      <c r="J48" s="205"/>
      <c r="K48" s="254">
        <f t="shared" si="12"/>
        <v>20</v>
      </c>
      <c r="L48" s="255">
        <f t="shared" si="12"/>
        <v>4200</v>
      </c>
      <c r="M48" s="255">
        <f t="shared" si="12"/>
        <v>4200</v>
      </c>
      <c r="N48" s="255">
        <f t="shared" si="12"/>
        <v>5100</v>
      </c>
      <c r="O48" s="255">
        <f t="shared" si="12"/>
        <v>5100</v>
      </c>
      <c r="P48" s="255">
        <f t="shared" si="12"/>
        <v>5100</v>
      </c>
      <c r="Q48" s="255">
        <f t="shared" si="12"/>
        <v>1</v>
      </c>
      <c r="R48" s="254" t="str">
        <f t="shared" si="12"/>
        <v/>
      </c>
      <c r="S48" s="256">
        <f t="shared" si="12"/>
        <v>0.65</v>
      </c>
      <c r="T48" s="256">
        <f t="shared" si="12"/>
        <v>0.7</v>
      </c>
      <c r="U48" s="256">
        <f t="shared" si="12"/>
        <v>0.75</v>
      </c>
      <c r="V48" s="256">
        <f t="shared" si="12"/>
        <v>0.75</v>
      </c>
      <c r="W48" s="256">
        <f t="shared" si="12"/>
        <v>0.75</v>
      </c>
      <c r="X48" s="254" t="str">
        <f t="shared" si="12"/>
        <v/>
      </c>
      <c r="Y48" s="254" t="str">
        <f t="shared" si="12"/>
        <v/>
      </c>
      <c r="Z48" s="254" t="str">
        <f t="shared" si="12"/>
        <v/>
      </c>
      <c r="AA48" s="254" t="str">
        <f t="shared" si="12"/>
        <v/>
      </c>
      <c r="AB48" s="254" t="str">
        <f t="shared" si="12"/>
        <v/>
      </c>
      <c r="AC48" s="254" t="str">
        <f t="shared" si="12"/>
        <v/>
      </c>
      <c r="AD48" s="254" t="str">
        <f t="shared" si="12"/>
        <v/>
      </c>
      <c r="AE48" s="196">
        <f t="shared" si="12"/>
        <v>0.4</v>
      </c>
      <c r="AF48" s="196" t="str">
        <f t="shared" si="12"/>
        <v/>
      </c>
      <c r="AG48" s="196" t="str">
        <f t="shared" si="12"/>
        <v/>
      </c>
      <c r="AH48" s="254" t="str">
        <f t="shared" si="12"/>
        <v/>
      </c>
      <c r="AI48" s="254" t="str">
        <f t="shared" si="12"/>
        <v/>
      </c>
      <c r="AJ48" s="254" t="str">
        <f t="shared" si="12"/>
        <v/>
      </c>
      <c r="AK48" s="254" t="str">
        <f t="shared" si="12"/>
        <v/>
      </c>
      <c r="AL48" s="254" t="str">
        <f t="shared" si="12"/>
        <v/>
      </c>
      <c r="AM48" s="254" t="str">
        <f t="shared" si="12"/>
        <v/>
      </c>
      <c r="AN48" s="254" t="str">
        <f t="shared" si="12"/>
        <v/>
      </c>
      <c r="AO48" s="254" t="str">
        <f t="shared" si="12"/>
        <v>Y</v>
      </c>
      <c r="AP48" s="254"/>
      <c r="AQ48" s="254" t="str">
        <f t="shared" si="12"/>
        <v>Added Storage costs (add. inv.)</v>
      </c>
      <c r="AR48" s="205"/>
      <c r="AS48" s="205"/>
      <c r="AT48" s="205"/>
    </row>
    <row r="49" spans="1:46" s="173" customFormat="1" x14ac:dyDescent="0.2">
      <c r="A49" s="200" t="s">
        <v>567</v>
      </c>
      <c r="B49" s="201" t="s">
        <v>675</v>
      </c>
      <c r="C49" s="201" t="s">
        <v>584</v>
      </c>
      <c r="D49" s="201" t="s">
        <v>672</v>
      </c>
      <c r="E49" s="190" t="str">
        <f t="shared" si="11"/>
        <v>HOB-gas</v>
      </c>
      <c r="F49" s="254" t="str">
        <f t="shared" si="11"/>
        <v>RSDGAS, RSDLPG, RSDBGS</v>
      </c>
      <c r="G49" s="254" t="str">
        <f t="shared" si="11"/>
        <v/>
      </c>
      <c r="H49" s="201" t="s">
        <v>825</v>
      </c>
      <c r="I49" s="205"/>
      <c r="J49" s="205"/>
      <c r="K49" s="254">
        <f t="shared" si="12"/>
        <v>22</v>
      </c>
      <c r="L49" s="255">
        <f t="shared" si="12"/>
        <v>4309</v>
      </c>
      <c r="M49" s="255">
        <f t="shared" si="12"/>
        <v>4309</v>
      </c>
      <c r="N49" s="255">
        <f t="shared" si="12"/>
        <v>4309</v>
      </c>
      <c r="O49" s="255">
        <f t="shared" si="12"/>
        <v>4309</v>
      </c>
      <c r="P49" s="255">
        <f t="shared" si="12"/>
        <v>4309</v>
      </c>
      <c r="Q49" s="255">
        <f t="shared" si="12"/>
        <v>226</v>
      </c>
      <c r="R49" s="254" t="str">
        <f t="shared" si="12"/>
        <v/>
      </c>
      <c r="S49" s="256">
        <f t="shared" si="12"/>
        <v>0.84679858006836706</v>
      </c>
      <c r="T49" s="256">
        <f t="shared" si="12"/>
        <v>0.84679858006836706</v>
      </c>
      <c r="U49" s="256">
        <f t="shared" si="12"/>
        <v>0.84679858006836706</v>
      </c>
      <c r="V49" s="256">
        <f t="shared" si="12"/>
        <v>0.84679858006836706</v>
      </c>
      <c r="W49" s="256">
        <f t="shared" si="12"/>
        <v>0.84679858006836706</v>
      </c>
      <c r="X49" s="254" t="str">
        <f t="shared" si="12"/>
        <v/>
      </c>
      <c r="Y49" s="254" t="str">
        <f t="shared" si="12"/>
        <v/>
      </c>
      <c r="Z49" s="254" t="str">
        <f t="shared" si="12"/>
        <v/>
      </c>
      <c r="AA49" s="254" t="str">
        <f t="shared" si="12"/>
        <v/>
      </c>
      <c r="AB49" s="254" t="str">
        <f t="shared" si="12"/>
        <v/>
      </c>
      <c r="AC49" s="254" t="str">
        <f t="shared" si="12"/>
        <v/>
      </c>
      <c r="AD49" s="254" t="str">
        <f t="shared" si="12"/>
        <v/>
      </c>
      <c r="AE49" s="196">
        <f t="shared" si="12"/>
        <v>1</v>
      </c>
      <c r="AF49" s="196">
        <f t="shared" si="12"/>
        <v>1</v>
      </c>
      <c r="AG49" s="196" t="str">
        <f t="shared" si="12"/>
        <v/>
      </c>
      <c r="AH49" s="254" t="str">
        <f t="shared" si="12"/>
        <v/>
      </c>
      <c r="AI49" s="254" t="str">
        <f t="shared" si="12"/>
        <v/>
      </c>
      <c r="AJ49" s="254" t="str">
        <f t="shared" si="12"/>
        <v/>
      </c>
      <c r="AK49" s="254" t="str">
        <f t="shared" si="12"/>
        <v/>
      </c>
      <c r="AL49" s="254" t="str">
        <f t="shared" si="12"/>
        <v/>
      </c>
      <c r="AM49" s="254" t="str">
        <f t="shared" si="12"/>
        <v/>
      </c>
      <c r="AN49" s="254" t="str">
        <f t="shared" si="12"/>
        <v/>
      </c>
      <c r="AO49" s="254" t="str">
        <f t="shared" si="12"/>
        <v/>
      </c>
      <c r="AP49" s="254"/>
      <c r="AQ49" s="254" t="str">
        <f t="shared" si="12"/>
        <v/>
      </c>
      <c r="AR49" s="205"/>
      <c r="AS49" s="205"/>
      <c r="AT49" s="205"/>
    </row>
    <row r="50" spans="1:46" s="173" customFormat="1" x14ac:dyDescent="0.2">
      <c r="A50" s="200" t="s">
        <v>567</v>
      </c>
      <c r="B50" s="201" t="s">
        <v>676</v>
      </c>
      <c r="C50" s="201" t="s">
        <v>589</v>
      </c>
      <c r="D50" s="201" t="s">
        <v>672</v>
      </c>
      <c r="E50" s="190" t="str">
        <f t="shared" si="11"/>
        <v>HOB-gas</v>
      </c>
      <c r="F50" s="254" t="str">
        <f t="shared" si="11"/>
        <v>RSDGAS, RSDLPG, RSDBGS</v>
      </c>
      <c r="G50" s="254" t="str">
        <f t="shared" si="11"/>
        <v/>
      </c>
      <c r="H50" s="201" t="s">
        <v>825</v>
      </c>
      <c r="I50" s="205"/>
      <c r="J50" s="205"/>
      <c r="K50" s="254">
        <f t="shared" si="12"/>
        <v>22</v>
      </c>
      <c r="L50" s="255">
        <f t="shared" si="12"/>
        <v>4309</v>
      </c>
      <c r="M50" s="255">
        <f t="shared" si="12"/>
        <v>4309</v>
      </c>
      <c r="N50" s="255">
        <f t="shared" si="12"/>
        <v>4309</v>
      </c>
      <c r="O50" s="255">
        <f t="shared" si="12"/>
        <v>4309</v>
      </c>
      <c r="P50" s="255">
        <f t="shared" si="12"/>
        <v>4309</v>
      </c>
      <c r="Q50" s="255">
        <f t="shared" si="12"/>
        <v>226</v>
      </c>
      <c r="R50" s="254" t="str">
        <f t="shared" si="12"/>
        <v/>
      </c>
      <c r="S50" s="256">
        <f t="shared" si="12"/>
        <v>0.84679858006836706</v>
      </c>
      <c r="T50" s="256">
        <f t="shared" si="12"/>
        <v>0.84679858006836706</v>
      </c>
      <c r="U50" s="256">
        <f t="shared" si="12"/>
        <v>0.84679858006836706</v>
      </c>
      <c r="V50" s="256">
        <f t="shared" si="12"/>
        <v>0.84679858006836706</v>
      </c>
      <c r="W50" s="256">
        <f t="shared" si="12"/>
        <v>0.84679858006836706</v>
      </c>
      <c r="X50" s="254" t="str">
        <f t="shared" si="12"/>
        <v/>
      </c>
      <c r="Y50" s="254" t="str">
        <f t="shared" si="12"/>
        <v/>
      </c>
      <c r="Z50" s="254" t="str">
        <f t="shared" si="12"/>
        <v/>
      </c>
      <c r="AA50" s="254" t="str">
        <f t="shared" si="12"/>
        <v/>
      </c>
      <c r="AB50" s="254" t="str">
        <f t="shared" si="12"/>
        <v/>
      </c>
      <c r="AC50" s="254" t="str">
        <f t="shared" si="12"/>
        <v/>
      </c>
      <c r="AD50" s="254" t="str">
        <f t="shared" si="12"/>
        <v/>
      </c>
      <c r="AE50" s="196">
        <f t="shared" si="12"/>
        <v>1</v>
      </c>
      <c r="AF50" s="196">
        <f t="shared" si="12"/>
        <v>1</v>
      </c>
      <c r="AG50" s="196" t="str">
        <f t="shared" si="12"/>
        <v/>
      </c>
      <c r="AH50" s="254" t="str">
        <f t="shared" si="12"/>
        <v/>
      </c>
      <c r="AI50" s="254" t="str">
        <f t="shared" si="12"/>
        <v/>
      </c>
      <c r="AJ50" s="254" t="str">
        <f t="shared" si="12"/>
        <v/>
      </c>
      <c r="AK50" s="254" t="str">
        <f t="shared" si="12"/>
        <v/>
      </c>
      <c r="AL50" s="254" t="str">
        <f t="shared" si="12"/>
        <v/>
      </c>
      <c r="AM50" s="254" t="str">
        <f t="shared" si="12"/>
        <v/>
      </c>
      <c r="AN50" s="254" t="str">
        <f t="shared" si="12"/>
        <v/>
      </c>
      <c r="AO50" s="254" t="str">
        <f t="shared" si="12"/>
        <v/>
      </c>
      <c r="AP50" s="254"/>
      <c r="AQ50" s="254" t="str">
        <f t="shared" si="12"/>
        <v/>
      </c>
      <c r="AR50" s="205"/>
      <c r="AS50" s="205"/>
      <c r="AT50" s="205"/>
    </row>
    <row r="51" spans="1:46" s="173" customFormat="1" x14ac:dyDescent="0.2">
      <c r="A51" s="202" t="s">
        <v>799</v>
      </c>
      <c r="B51" s="201" t="str">
        <f>B50&amp;"-"&amp;RIGHT(F51,3)&amp;"spl"</f>
        <v>R_ES-SH-DH-70_GAS02-SOLspl</v>
      </c>
      <c r="C51" s="203" t="s">
        <v>590</v>
      </c>
      <c r="D51" s="203" t="s">
        <v>672</v>
      </c>
      <c r="E51" s="190" t="str">
        <f t="shared" si="11"/>
        <v>Solar heating and hot tap water</v>
      </c>
      <c r="F51" s="254" t="str">
        <f t="shared" si="11"/>
        <v>RSDSOL</v>
      </c>
      <c r="G51" s="254" t="str">
        <f t="shared" si="11"/>
        <v/>
      </c>
      <c r="H51" s="201" t="s">
        <v>825</v>
      </c>
      <c r="I51" s="205"/>
      <c r="J51" s="205"/>
      <c r="K51" s="254">
        <f t="shared" si="12"/>
        <v>20</v>
      </c>
      <c r="L51" s="255">
        <f t="shared" si="12"/>
        <v>6294</v>
      </c>
      <c r="M51" s="255">
        <f t="shared" si="12"/>
        <v>6000.36</v>
      </c>
      <c r="N51" s="255">
        <f t="shared" si="12"/>
        <v>5755.66</v>
      </c>
      <c r="O51" s="255">
        <f t="shared" si="12"/>
        <v>4678.9799999999996</v>
      </c>
      <c r="P51" s="255">
        <f t="shared" si="12"/>
        <v>4678.9799999999996</v>
      </c>
      <c r="Q51" s="255">
        <f t="shared" si="12"/>
        <v>115</v>
      </c>
      <c r="R51" s="254" t="str">
        <f t="shared" si="12"/>
        <v/>
      </c>
      <c r="S51" s="256">
        <f t="shared" si="12"/>
        <v>1</v>
      </c>
      <c r="T51" s="256" t="str">
        <f t="shared" si="12"/>
        <v/>
      </c>
      <c r="U51" s="256" t="str">
        <f t="shared" si="12"/>
        <v/>
      </c>
      <c r="V51" s="256" t="str">
        <f t="shared" si="12"/>
        <v/>
      </c>
      <c r="W51" s="256" t="str">
        <f t="shared" si="12"/>
        <v/>
      </c>
      <c r="X51" s="254" t="str">
        <f t="shared" si="12"/>
        <v/>
      </c>
      <c r="Y51" s="254" t="str">
        <f t="shared" si="12"/>
        <v/>
      </c>
      <c r="Z51" s="254" t="str">
        <f t="shared" si="12"/>
        <v/>
      </c>
      <c r="AA51" s="254" t="str">
        <f t="shared" si="12"/>
        <v/>
      </c>
      <c r="AB51" s="254" t="str">
        <f t="shared" si="12"/>
        <v/>
      </c>
      <c r="AC51" s="254" t="str">
        <f t="shared" si="12"/>
        <v/>
      </c>
      <c r="AD51" s="254" t="str">
        <f t="shared" si="12"/>
        <v/>
      </c>
      <c r="AE51" s="196">
        <f t="shared" si="12"/>
        <v>0.15</v>
      </c>
      <c r="AF51" s="196">
        <f t="shared" si="12"/>
        <v>0.15</v>
      </c>
      <c r="AG51" s="196" t="str">
        <f t="shared" si="12"/>
        <v/>
      </c>
      <c r="AH51" s="254" t="str">
        <f t="shared" si="12"/>
        <v/>
      </c>
      <c r="AI51" s="254" t="str">
        <f t="shared" si="12"/>
        <v/>
      </c>
      <c r="AJ51" s="254" t="str">
        <f t="shared" si="12"/>
        <v/>
      </c>
      <c r="AK51" s="254" t="str">
        <f t="shared" si="12"/>
        <v/>
      </c>
      <c r="AL51" s="254" t="str">
        <f t="shared" si="12"/>
        <v/>
      </c>
      <c r="AM51" s="254" t="str">
        <f t="shared" si="12"/>
        <v/>
      </c>
      <c r="AN51" s="254" t="str">
        <f t="shared" si="12"/>
        <v/>
      </c>
      <c r="AO51" s="254" t="str">
        <f t="shared" si="12"/>
        <v>Y</v>
      </c>
      <c r="AP51" s="254"/>
      <c r="AQ51" s="254" t="str">
        <f t="shared" si="12"/>
        <v xml:space="preserve">Solar share 10-20 % (used 15%). AddInv: Control unit that facilitates the operation </v>
      </c>
      <c r="AR51" s="205"/>
      <c r="AS51" s="205"/>
      <c r="AT51" s="205"/>
    </row>
    <row r="52" spans="1:46" s="173" customFormat="1" x14ac:dyDescent="0.2">
      <c r="A52" s="202" t="s">
        <v>799</v>
      </c>
      <c r="B52" s="201" t="str">
        <f>B50&amp;"-"&amp;RIGHT(F52,3)&amp;"spl"</f>
        <v>R_ES-SH-DH-70_GAS02-BIOspl</v>
      </c>
      <c r="C52" s="203" t="s">
        <v>592</v>
      </c>
      <c r="D52" s="203" t="s">
        <v>672</v>
      </c>
      <c r="E52" s="190" t="str">
        <f t="shared" si="11"/>
        <v>HOB-wood</v>
      </c>
      <c r="F52" s="254" t="str">
        <f t="shared" si="11"/>
        <v>RSDBIO</v>
      </c>
      <c r="G52" s="254" t="str">
        <f t="shared" si="11"/>
        <v/>
      </c>
      <c r="H52" s="201" t="s">
        <v>674</v>
      </c>
      <c r="I52" s="205"/>
      <c r="J52" s="205"/>
      <c r="K52" s="254">
        <f t="shared" si="12"/>
        <v>20</v>
      </c>
      <c r="L52" s="255">
        <f t="shared" si="12"/>
        <v>4200</v>
      </c>
      <c r="M52" s="255">
        <f t="shared" si="12"/>
        <v>4200</v>
      </c>
      <c r="N52" s="255">
        <f t="shared" si="12"/>
        <v>5100</v>
      </c>
      <c r="O52" s="255">
        <f t="shared" si="12"/>
        <v>5100</v>
      </c>
      <c r="P52" s="255">
        <f t="shared" si="12"/>
        <v>5100</v>
      </c>
      <c r="Q52" s="255">
        <f t="shared" si="12"/>
        <v>1</v>
      </c>
      <c r="R52" s="254" t="str">
        <f t="shared" si="12"/>
        <v/>
      </c>
      <c r="S52" s="256">
        <f t="shared" si="12"/>
        <v>0.65</v>
      </c>
      <c r="T52" s="256">
        <f t="shared" si="12"/>
        <v>0.7</v>
      </c>
      <c r="U52" s="256">
        <f t="shared" si="12"/>
        <v>0.75</v>
      </c>
      <c r="V52" s="256">
        <f t="shared" si="12"/>
        <v>0.75</v>
      </c>
      <c r="W52" s="256">
        <f t="shared" si="12"/>
        <v>0.75</v>
      </c>
      <c r="X52" s="254" t="str">
        <f t="shared" si="12"/>
        <v/>
      </c>
      <c r="Y52" s="254" t="str">
        <f t="shared" si="12"/>
        <v/>
      </c>
      <c r="Z52" s="254" t="str">
        <f t="shared" si="12"/>
        <v/>
      </c>
      <c r="AA52" s="254" t="str">
        <f t="shared" si="12"/>
        <v/>
      </c>
      <c r="AB52" s="254" t="str">
        <f t="shared" si="12"/>
        <v/>
      </c>
      <c r="AC52" s="254" t="str">
        <f t="shared" si="12"/>
        <v/>
      </c>
      <c r="AD52" s="254" t="str">
        <f t="shared" si="12"/>
        <v/>
      </c>
      <c r="AE52" s="196">
        <f t="shared" si="12"/>
        <v>0.4</v>
      </c>
      <c r="AF52" s="196" t="str">
        <f t="shared" si="12"/>
        <v/>
      </c>
      <c r="AG52" s="196" t="str">
        <f t="shared" si="12"/>
        <v/>
      </c>
      <c r="AH52" s="254" t="str">
        <f t="shared" si="12"/>
        <v/>
      </c>
      <c r="AI52" s="254" t="str">
        <f t="shared" si="12"/>
        <v/>
      </c>
      <c r="AJ52" s="254" t="str">
        <f t="shared" si="12"/>
        <v/>
      </c>
      <c r="AK52" s="254" t="str">
        <f t="shared" si="12"/>
        <v/>
      </c>
      <c r="AL52" s="254" t="str">
        <f t="shared" si="12"/>
        <v/>
      </c>
      <c r="AM52" s="254" t="str">
        <f t="shared" si="12"/>
        <v/>
      </c>
      <c r="AN52" s="254" t="str">
        <f t="shared" si="12"/>
        <v/>
      </c>
      <c r="AO52" s="254" t="str">
        <f t="shared" si="12"/>
        <v>Y</v>
      </c>
      <c r="AP52" s="254"/>
      <c r="AQ52" s="254" t="str">
        <f t="shared" ref="AQ52" si="13">IF(AQ11="","",AQ11)</f>
        <v>Added Storage costs (add. inv.)</v>
      </c>
      <c r="AR52" s="205"/>
      <c r="AS52" s="205"/>
      <c r="AT52" s="205"/>
    </row>
    <row r="53" spans="1:46" s="173" customFormat="1" x14ac:dyDescent="0.2">
      <c r="A53" s="204" t="s">
        <v>567</v>
      </c>
      <c r="B53" s="205" t="s">
        <v>677</v>
      </c>
      <c r="C53" s="205" t="s">
        <v>594</v>
      </c>
      <c r="D53" s="205" t="s">
        <v>672</v>
      </c>
      <c r="E53" s="190" t="str">
        <f t="shared" si="11"/>
        <v>HOB-biomass</v>
      </c>
      <c r="F53" s="254" t="str">
        <f t="shared" si="11"/>
        <v>RSDBIO</v>
      </c>
      <c r="G53" s="254" t="str">
        <f t="shared" si="11"/>
        <v/>
      </c>
      <c r="H53" s="205" t="s">
        <v>825</v>
      </c>
      <c r="I53" s="205"/>
      <c r="J53" s="205"/>
      <c r="K53" s="254">
        <f t="shared" ref="K53:AQ60" si="14">IF(K12="","",K12)</f>
        <v>20</v>
      </c>
      <c r="L53" s="255">
        <f t="shared" si="14"/>
        <v>16550</v>
      </c>
      <c r="M53" s="255">
        <f t="shared" si="14"/>
        <v>16550</v>
      </c>
      <c r="N53" s="255">
        <f t="shared" si="14"/>
        <v>17720</v>
      </c>
      <c r="O53" s="255">
        <f t="shared" si="14"/>
        <v>17720</v>
      </c>
      <c r="P53" s="255">
        <f t="shared" si="14"/>
        <v>17720</v>
      </c>
      <c r="Q53" s="255">
        <f t="shared" si="14"/>
        <v>470.58823529411768</v>
      </c>
      <c r="R53" s="254" t="str">
        <f t="shared" si="14"/>
        <v/>
      </c>
      <c r="S53" s="256">
        <f t="shared" si="14"/>
        <v>0.67308496185599331</v>
      </c>
      <c r="T53" s="256">
        <f t="shared" si="14"/>
        <v>0.67308496185599331</v>
      </c>
      <c r="U53" s="256">
        <f t="shared" si="14"/>
        <v>0.67308496185599331</v>
      </c>
      <c r="V53" s="256">
        <f t="shared" si="14"/>
        <v>0.67308496185599331</v>
      </c>
      <c r="W53" s="256">
        <f t="shared" si="14"/>
        <v>0.67308496185599331</v>
      </c>
      <c r="X53" s="254" t="str">
        <f t="shared" si="14"/>
        <v/>
      </c>
      <c r="Y53" s="254" t="str">
        <f t="shared" si="14"/>
        <v/>
      </c>
      <c r="Z53" s="254" t="str">
        <f t="shared" si="14"/>
        <v/>
      </c>
      <c r="AA53" s="254" t="str">
        <f t="shared" si="14"/>
        <v/>
      </c>
      <c r="AB53" s="254" t="str">
        <f t="shared" si="14"/>
        <v/>
      </c>
      <c r="AC53" s="254" t="str">
        <f t="shared" si="14"/>
        <v/>
      </c>
      <c r="AD53" s="254" t="str">
        <f t="shared" si="14"/>
        <v/>
      </c>
      <c r="AE53" s="196">
        <f t="shared" si="14"/>
        <v>1</v>
      </c>
      <c r="AF53" s="196">
        <f t="shared" si="14"/>
        <v>1</v>
      </c>
      <c r="AG53" s="196" t="str">
        <f t="shared" si="14"/>
        <v/>
      </c>
      <c r="AH53" s="254" t="str">
        <f t="shared" si="14"/>
        <v/>
      </c>
      <c r="AI53" s="254" t="str">
        <f t="shared" si="14"/>
        <v/>
      </c>
      <c r="AJ53" s="254" t="str">
        <f t="shared" si="14"/>
        <v/>
      </c>
      <c r="AK53" s="254" t="str">
        <f t="shared" si="14"/>
        <v/>
      </c>
      <c r="AL53" s="254" t="str">
        <f t="shared" si="14"/>
        <v/>
      </c>
      <c r="AM53" s="254" t="str">
        <f t="shared" si="14"/>
        <v/>
      </c>
      <c r="AN53" s="254" t="str">
        <f t="shared" si="14"/>
        <v/>
      </c>
      <c r="AO53" s="254" t="str">
        <f t="shared" si="14"/>
        <v>Y</v>
      </c>
      <c r="AP53" s="254"/>
      <c r="AQ53" s="254" t="str">
        <f t="shared" si="14"/>
        <v>Added Storage costs (add. inv.)</v>
      </c>
      <c r="AR53" s="205"/>
      <c r="AS53" s="205"/>
      <c r="AT53" s="205"/>
    </row>
    <row r="54" spans="1:46" s="175" customFormat="1" x14ac:dyDescent="0.2">
      <c r="A54" s="206" t="s">
        <v>567</v>
      </c>
      <c r="B54" s="206" t="s">
        <v>678</v>
      </c>
      <c r="C54" s="206" t="s">
        <v>598</v>
      </c>
      <c r="D54" s="206" t="s">
        <v>672</v>
      </c>
      <c r="E54" s="191" t="str">
        <f t="shared" si="11"/>
        <v>Electric_electric boiler</v>
      </c>
      <c r="F54" s="257" t="str">
        <f t="shared" si="11"/>
        <v>RSDELC</v>
      </c>
      <c r="G54" s="257" t="str">
        <f t="shared" si="11"/>
        <v/>
      </c>
      <c r="H54" s="206" t="s">
        <v>825</v>
      </c>
      <c r="I54" s="206"/>
      <c r="J54" s="206"/>
      <c r="K54" s="257">
        <f t="shared" si="14"/>
        <v>15</v>
      </c>
      <c r="L54" s="258">
        <f t="shared" si="14"/>
        <v>4000</v>
      </c>
      <c r="M54" s="258">
        <f t="shared" si="14"/>
        <v>4000</v>
      </c>
      <c r="N54" s="258">
        <f t="shared" si="14"/>
        <v>4000</v>
      </c>
      <c r="O54" s="258">
        <f t="shared" si="14"/>
        <v>4000</v>
      </c>
      <c r="P54" s="258">
        <f t="shared" si="14"/>
        <v>4000</v>
      </c>
      <c r="Q54" s="258">
        <f t="shared" si="14"/>
        <v>10</v>
      </c>
      <c r="R54" s="257" t="str">
        <f t="shared" si="14"/>
        <v/>
      </c>
      <c r="S54" s="259">
        <f t="shared" si="14"/>
        <v>1</v>
      </c>
      <c r="T54" s="259" t="str">
        <f t="shared" si="14"/>
        <v/>
      </c>
      <c r="U54" s="259" t="str">
        <f t="shared" si="14"/>
        <v/>
      </c>
      <c r="V54" s="259" t="str">
        <f t="shared" si="14"/>
        <v/>
      </c>
      <c r="W54" s="259" t="str">
        <f t="shared" si="14"/>
        <v/>
      </c>
      <c r="X54" s="257" t="str">
        <f t="shared" si="14"/>
        <v/>
      </c>
      <c r="Y54" s="257" t="str">
        <f t="shared" si="14"/>
        <v/>
      </c>
      <c r="Z54" s="257" t="str">
        <f t="shared" si="14"/>
        <v/>
      </c>
      <c r="AA54" s="257" t="str">
        <f t="shared" si="14"/>
        <v/>
      </c>
      <c r="AB54" s="257" t="str">
        <f t="shared" si="14"/>
        <v/>
      </c>
      <c r="AC54" s="257" t="str">
        <f t="shared" si="14"/>
        <v/>
      </c>
      <c r="AD54" s="257" t="str">
        <f t="shared" si="14"/>
        <v/>
      </c>
      <c r="AE54" s="197">
        <f t="shared" si="14"/>
        <v>1</v>
      </c>
      <c r="AF54" s="197">
        <f t="shared" si="14"/>
        <v>1</v>
      </c>
      <c r="AG54" s="197" t="str">
        <f t="shared" si="14"/>
        <v/>
      </c>
      <c r="AH54" s="257" t="str">
        <f t="shared" si="14"/>
        <v/>
      </c>
      <c r="AI54" s="257" t="str">
        <f t="shared" si="14"/>
        <v/>
      </c>
      <c r="AJ54" s="257" t="str">
        <f t="shared" si="14"/>
        <v/>
      </c>
      <c r="AK54" s="257" t="str">
        <f t="shared" si="14"/>
        <v/>
      </c>
      <c r="AL54" s="257" t="str">
        <f t="shared" si="14"/>
        <v/>
      </c>
      <c r="AM54" s="257" t="str">
        <f t="shared" si="14"/>
        <v/>
      </c>
      <c r="AN54" s="257" t="str">
        <f t="shared" si="14"/>
        <v/>
      </c>
      <c r="AO54" s="257" t="str">
        <f t="shared" si="14"/>
        <v/>
      </c>
      <c r="AP54" s="257"/>
      <c r="AQ54" s="257" t="str">
        <f t="shared" si="14"/>
        <v>Include both room heaters and hot tap water preparation</v>
      </c>
      <c r="AR54" s="206"/>
      <c r="AS54" s="206"/>
      <c r="AT54" s="206"/>
    </row>
    <row r="55" spans="1:46" s="173" customFormat="1" x14ac:dyDescent="0.2">
      <c r="A55" s="207" t="s">
        <v>601</v>
      </c>
      <c r="B55" s="203" t="s">
        <v>679</v>
      </c>
      <c r="C55" s="203" t="s">
        <v>603</v>
      </c>
      <c r="D55" s="203" t="s">
        <v>672</v>
      </c>
      <c r="E55" s="190" t="str">
        <f t="shared" si="11"/>
        <v>HP-e-air-to-air</v>
      </c>
      <c r="F55" s="254" t="str">
        <f t="shared" si="11"/>
        <v>RSDELC</v>
      </c>
      <c r="G55" s="254" t="str">
        <f t="shared" si="11"/>
        <v>RSDAHT</v>
      </c>
      <c r="H55" s="203" t="s">
        <v>827</v>
      </c>
      <c r="I55" s="205"/>
      <c r="J55" s="205"/>
      <c r="K55" s="254">
        <f t="shared" si="14"/>
        <v>20</v>
      </c>
      <c r="L55" s="255">
        <f t="shared" si="14"/>
        <v>15389</v>
      </c>
      <c r="M55" s="255">
        <f t="shared" si="14"/>
        <v>14619.55</v>
      </c>
      <c r="N55" s="255">
        <f t="shared" si="14"/>
        <v>13234.54</v>
      </c>
      <c r="O55" s="255">
        <f t="shared" si="14"/>
        <v>12618.98</v>
      </c>
      <c r="P55" s="255">
        <f t="shared" si="14"/>
        <v>12618.98</v>
      </c>
      <c r="Q55" s="255">
        <f t="shared" si="14"/>
        <v>300</v>
      </c>
      <c r="R55" s="254" t="str">
        <f t="shared" si="14"/>
        <v/>
      </c>
      <c r="S55" s="260">
        <f t="shared" si="14"/>
        <v>3</v>
      </c>
      <c r="T55" s="260">
        <f t="shared" si="14"/>
        <v>3.2</v>
      </c>
      <c r="U55" s="260">
        <f t="shared" si="14"/>
        <v>3.7</v>
      </c>
      <c r="V55" s="260">
        <f t="shared" si="14"/>
        <v>4</v>
      </c>
      <c r="W55" s="260">
        <f t="shared" si="14"/>
        <v>4</v>
      </c>
      <c r="X55" s="254" t="str">
        <f t="shared" si="14"/>
        <v/>
      </c>
      <c r="Y55" s="254" t="str">
        <f t="shared" si="14"/>
        <v/>
      </c>
      <c r="Z55" s="254" t="str">
        <f t="shared" si="14"/>
        <v/>
      </c>
      <c r="AA55" s="254" t="str">
        <f t="shared" si="14"/>
        <v/>
      </c>
      <c r="AB55" s="254" t="str">
        <f t="shared" si="14"/>
        <v/>
      </c>
      <c r="AC55" s="254" t="str">
        <f t="shared" si="14"/>
        <v/>
      </c>
      <c r="AD55" s="254" t="str">
        <f t="shared" si="14"/>
        <v/>
      </c>
      <c r="AE55" s="196">
        <f t="shared" si="14"/>
        <v>0.7</v>
      </c>
      <c r="AF55" s="196" t="str">
        <f t="shared" si="14"/>
        <v/>
      </c>
      <c r="AG55" s="196" t="str">
        <f t="shared" si="14"/>
        <v/>
      </c>
      <c r="AH55" s="254" t="str">
        <f t="shared" si="14"/>
        <v/>
      </c>
      <c r="AI55" s="254" t="str">
        <f t="shared" si="14"/>
        <v/>
      </c>
      <c r="AJ55" s="254" t="str">
        <f t="shared" si="14"/>
        <v/>
      </c>
      <c r="AK55" s="254" t="str">
        <f t="shared" si="14"/>
        <v/>
      </c>
      <c r="AL55" s="254" t="str">
        <f t="shared" si="14"/>
        <v/>
      </c>
      <c r="AM55" s="254" t="str">
        <f t="shared" si="14"/>
        <v/>
      </c>
      <c r="AN55" s="254" t="str">
        <f t="shared" si="14"/>
        <v/>
      </c>
      <c r="AO55" s="254" t="str">
        <f t="shared" si="14"/>
        <v>Y</v>
      </c>
      <c r="AP55" s="254"/>
      <c r="AQ55" s="254" t="str">
        <f t="shared" si="14"/>
        <v>HP covers between 60 % and 80 % of the total space heating demand of a building</v>
      </c>
      <c r="AR55" s="205"/>
      <c r="AS55" s="205"/>
      <c r="AT55" s="205"/>
    </row>
    <row r="56" spans="1:46" s="173" customFormat="1" x14ac:dyDescent="0.2">
      <c r="A56" s="202" t="s">
        <v>799</v>
      </c>
      <c r="B56" s="201" t="str">
        <f>B55&amp;"-"&amp;RIGHT(F56,3)&amp;"spl"</f>
        <v>R_ES-SH-DH-70_ELC02-ELCspl</v>
      </c>
      <c r="C56" s="203" t="s">
        <v>607</v>
      </c>
      <c r="D56" s="203" t="s">
        <v>672</v>
      </c>
      <c r="E56" s="190" t="str">
        <f t="shared" si="11"/>
        <v>Electric_electric boiler</v>
      </c>
      <c r="F56" s="254" t="str">
        <f t="shared" si="11"/>
        <v>RSDELC</v>
      </c>
      <c r="G56" s="254" t="str">
        <f t="shared" si="11"/>
        <v/>
      </c>
      <c r="H56" s="203" t="s">
        <v>825</v>
      </c>
      <c r="I56" s="205"/>
      <c r="J56" s="205"/>
      <c r="K56" s="254">
        <f t="shared" si="14"/>
        <v>15</v>
      </c>
      <c r="L56" s="255">
        <f t="shared" si="14"/>
        <v>3039.5388059701486</v>
      </c>
      <c r="M56" s="255">
        <f t="shared" si="14"/>
        <v>3039.5388059701486</v>
      </c>
      <c r="N56" s="255">
        <f t="shared" si="14"/>
        <v>3039.5388059701486</v>
      </c>
      <c r="O56" s="255">
        <f t="shared" si="14"/>
        <v>3039.5388059701486</v>
      </c>
      <c r="P56" s="255">
        <f t="shared" si="14"/>
        <v>3039.5388059701486</v>
      </c>
      <c r="Q56" s="255">
        <f t="shared" si="14"/>
        <v>55</v>
      </c>
      <c r="R56" s="254" t="str">
        <f t="shared" si="14"/>
        <v/>
      </c>
      <c r="S56" s="260">
        <f t="shared" si="14"/>
        <v>1</v>
      </c>
      <c r="T56" s="260">
        <f t="shared" si="14"/>
        <v>1</v>
      </c>
      <c r="U56" s="260">
        <f t="shared" si="14"/>
        <v>1</v>
      </c>
      <c r="V56" s="260">
        <f t="shared" si="14"/>
        <v>1</v>
      </c>
      <c r="W56" s="260">
        <f t="shared" si="14"/>
        <v>1</v>
      </c>
      <c r="X56" s="254" t="str">
        <f t="shared" si="14"/>
        <v/>
      </c>
      <c r="Y56" s="254" t="str">
        <f t="shared" si="14"/>
        <v/>
      </c>
      <c r="Z56" s="254" t="str">
        <f t="shared" si="14"/>
        <v/>
      </c>
      <c r="AA56" s="254" t="str">
        <f t="shared" si="14"/>
        <v/>
      </c>
      <c r="AB56" s="254" t="str">
        <f t="shared" si="14"/>
        <v/>
      </c>
      <c r="AC56" s="254" t="str">
        <f t="shared" si="14"/>
        <v/>
      </c>
      <c r="AD56" s="254" t="str">
        <f t="shared" si="14"/>
        <v/>
      </c>
      <c r="AE56" s="196">
        <f t="shared" si="14"/>
        <v>0.3</v>
      </c>
      <c r="AF56" s="196">
        <f t="shared" si="14"/>
        <v>1</v>
      </c>
      <c r="AG56" s="196" t="str">
        <f t="shared" si="14"/>
        <v/>
      </c>
      <c r="AH56" s="254" t="str">
        <f t="shared" si="14"/>
        <v/>
      </c>
      <c r="AI56" s="254" t="str">
        <f t="shared" si="14"/>
        <v/>
      </c>
      <c r="AJ56" s="254" t="str">
        <f t="shared" si="14"/>
        <v/>
      </c>
      <c r="AK56" s="254" t="str">
        <f t="shared" si="14"/>
        <v/>
      </c>
      <c r="AL56" s="254" t="str">
        <f t="shared" si="14"/>
        <v/>
      </c>
      <c r="AM56" s="254" t="str">
        <f t="shared" si="14"/>
        <v/>
      </c>
      <c r="AN56" s="254" t="str">
        <f t="shared" si="14"/>
        <v/>
      </c>
      <c r="AO56" s="254" t="str">
        <f t="shared" si="14"/>
        <v/>
      </c>
      <c r="AP56" s="254"/>
      <c r="AQ56" s="254" t="str">
        <f t="shared" si="14"/>
        <v xml:space="preserve">AddInv: shunt-valve. </v>
      </c>
      <c r="AR56" s="205"/>
      <c r="AS56" s="205"/>
      <c r="AT56" s="205"/>
    </row>
    <row r="57" spans="1:46" s="173" customFormat="1" x14ac:dyDescent="0.2">
      <c r="A57" s="202" t="s">
        <v>799</v>
      </c>
      <c r="B57" s="201" t="str">
        <f>B55&amp;"-"&amp;RIGHT(F57,3)&amp;"spl"</f>
        <v>R_ES-SH-DH-70_ELC02-GASspl</v>
      </c>
      <c r="C57" s="203" t="s">
        <v>609</v>
      </c>
      <c r="D57" s="203" t="s">
        <v>672</v>
      </c>
      <c r="E57" s="190" t="str">
        <f t="shared" si="11"/>
        <v>HOB-gas</v>
      </c>
      <c r="F57" s="254" t="str">
        <f t="shared" si="11"/>
        <v>RSDLPG, RSDBGS, RSDGAS</v>
      </c>
      <c r="G57" s="254" t="str">
        <f t="shared" si="11"/>
        <v/>
      </c>
      <c r="H57" s="203" t="s">
        <v>825</v>
      </c>
      <c r="I57" s="205"/>
      <c r="J57" s="205"/>
      <c r="K57" s="254">
        <f t="shared" si="14"/>
        <v>22</v>
      </c>
      <c r="L57" s="255">
        <f t="shared" si="14"/>
        <v>5348.0999999999985</v>
      </c>
      <c r="M57" s="255">
        <f t="shared" si="14"/>
        <v>5348.0999999999985</v>
      </c>
      <c r="N57" s="255">
        <f t="shared" si="14"/>
        <v>5348.0999999999985</v>
      </c>
      <c r="O57" s="255">
        <f t="shared" si="14"/>
        <v>5348.0999999999985</v>
      </c>
      <c r="P57" s="255">
        <f t="shared" si="14"/>
        <v>5348.0999999999985</v>
      </c>
      <c r="Q57" s="255">
        <f t="shared" si="14"/>
        <v>113</v>
      </c>
      <c r="R57" s="254" t="str">
        <f t="shared" si="14"/>
        <v/>
      </c>
      <c r="S57" s="260">
        <f t="shared" si="14"/>
        <v>0.84679858006836706</v>
      </c>
      <c r="T57" s="260">
        <f t="shared" si="14"/>
        <v>0.84679858006836706</v>
      </c>
      <c r="U57" s="260">
        <f t="shared" si="14"/>
        <v>0.84679858006836706</v>
      </c>
      <c r="V57" s="260">
        <f t="shared" si="14"/>
        <v>0.84679858006836706</v>
      </c>
      <c r="W57" s="260">
        <f t="shared" si="14"/>
        <v>0.84679858006836706</v>
      </c>
      <c r="X57" s="254" t="str">
        <f t="shared" si="14"/>
        <v/>
      </c>
      <c r="Y57" s="254" t="str">
        <f t="shared" si="14"/>
        <v/>
      </c>
      <c r="Z57" s="254" t="str">
        <f t="shared" si="14"/>
        <v/>
      </c>
      <c r="AA57" s="254" t="str">
        <f t="shared" si="14"/>
        <v/>
      </c>
      <c r="AB57" s="254" t="str">
        <f t="shared" si="14"/>
        <v/>
      </c>
      <c r="AC57" s="254" t="str">
        <f t="shared" si="14"/>
        <v/>
      </c>
      <c r="AD57" s="254" t="str">
        <f t="shared" si="14"/>
        <v/>
      </c>
      <c r="AE57" s="196">
        <f t="shared" si="14"/>
        <v>0.3</v>
      </c>
      <c r="AF57" s="196">
        <f t="shared" si="14"/>
        <v>1</v>
      </c>
      <c r="AG57" s="196" t="str">
        <f t="shared" si="14"/>
        <v/>
      </c>
      <c r="AH57" s="254" t="str">
        <f t="shared" si="14"/>
        <v/>
      </c>
      <c r="AI57" s="254" t="str">
        <f t="shared" si="14"/>
        <v/>
      </c>
      <c r="AJ57" s="254" t="str">
        <f t="shared" si="14"/>
        <v/>
      </c>
      <c r="AK57" s="254" t="str">
        <f t="shared" si="14"/>
        <v/>
      </c>
      <c r="AL57" s="254" t="str">
        <f t="shared" si="14"/>
        <v/>
      </c>
      <c r="AM57" s="254" t="str">
        <f t="shared" si="14"/>
        <v/>
      </c>
      <c r="AN57" s="254" t="str">
        <f t="shared" si="14"/>
        <v/>
      </c>
      <c r="AO57" s="254" t="str">
        <f t="shared" si="14"/>
        <v>Y</v>
      </c>
      <c r="AP57" s="254"/>
      <c r="AQ57" s="254" t="str">
        <f t="shared" si="14"/>
        <v xml:space="preserve">AddInv: shunt-valve. </v>
      </c>
      <c r="AR57" s="205"/>
      <c r="AS57" s="205"/>
      <c r="AT57" s="205"/>
    </row>
    <row r="58" spans="1:46" s="173" customFormat="1" x14ac:dyDescent="0.2">
      <c r="A58" s="202" t="s">
        <v>799</v>
      </c>
      <c r="B58" s="201" t="str">
        <f>B55&amp;"-"&amp;RIGHT(F58,3)&amp;"spl"</f>
        <v>R_ES-SH-DH-70_ELC02-BIOspl</v>
      </c>
      <c r="C58" s="203" t="s">
        <v>611</v>
      </c>
      <c r="D58" s="203" t="s">
        <v>672</v>
      </c>
      <c r="E58" s="190" t="str">
        <f t="shared" si="11"/>
        <v>HOB-biomass</v>
      </c>
      <c r="F58" s="254" t="str">
        <f t="shared" si="11"/>
        <v>RSDBIO</v>
      </c>
      <c r="G58" s="254" t="str">
        <f t="shared" si="11"/>
        <v/>
      </c>
      <c r="H58" s="203" t="s">
        <v>825</v>
      </c>
      <c r="I58" s="205"/>
      <c r="J58" s="205"/>
      <c r="K58" s="254">
        <f t="shared" si="14"/>
        <v>20</v>
      </c>
      <c r="L58" s="255">
        <f t="shared" si="14"/>
        <v>10328.099999999999</v>
      </c>
      <c r="M58" s="255">
        <f t="shared" si="14"/>
        <v>10328.099999999999</v>
      </c>
      <c r="N58" s="255">
        <f t="shared" si="14"/>
        <v>11257.629000000001</v>
      </c>
      <c r="O58" s="255">
        <f t="shared" si="14"/>
        <v>11257.629000000001</v>
      </c>
      <c r="P58" s="255">
        <f t="shared" si="14"/>
        <v>11257.629000000001</v>
      </c>
      <c r="Q58" s="255">
        <f t="shared" si="14"/>
        <v>136.14999999999998</v>
      </c>
      <c r="R58" s="254" t="str">
        <f t="shared" si="14"/>
        <v/>
      </c>
      <c r="S58" s="260">
        <f t="shared" si="14"/>
        <v>0.67308496185599331</v>
      </c>
      <c r="T58" s="260">
        <f t="shared" si="14"/>
        <v>0.67308496185599331</v>
      </c>
      <c r="U58" s="260">
        <f t="shared" si="14"/>
        <v>0.67308496185599331</v>
      </c>
      <c r="V58" s="260">
        <f t="shared" si="14"/>
        <v>0.67308496185599331</v>
      </c>
      <c r="W58" s="260">
        <f t="shared" si="14"/>
        <v>0.67308496185599331</v>
      </c>
      <c r="X58" s="254" t="str">
        <f t="shared" si="14"/>
        <v/>
      </c>
      <c r="Y58" s="254" t="str">
        <f t="shared" si="14"/>
        <v/>
      </c>
      <c r="Z58" s="254" t="str">
        <f t="shared" si="14"/>
        <v/>
      </c>
      <c r="AA58" s="254" t="str">
        <f t="shared" si="14"/>
        <v/>
      </c>
      <c r="AB58" s="254" t="str">
        <f t="shared" si="14"/>
        <v/>
      </c>
      <c r="AC58" s="254" t="str">
        <f t="shared" si="14"/>
        <v/>
      </c>
      <c r="AD58" s="254" t="str">
        <f t="shared" si="14"/>
        <v/>
      </c>
      <c r="AE58" s="196">
        <f t="shared" si="14"/>
        <v>0.3</v>
      </c>
      <c r="AF58" s="196">
        <f t="shared" si="14"/>
        <v>1</v>
      </c>
      <c r="AG58" s="196" t="str">
        <f t="shared" si="14"/>
        <v/>
      </c>
      <c r="AH58" s="254" t="str">
        <f t="shared" si="14"/>
        <v/>
      </c>
      <c r="AI58" s="254" t="str">
        <f t="shared" si="14"/>
        <v/>
      </c>
      <c r="AJ58" s="254" t="str">
        <f t="shared" si="14"/>
        <v/>
      </c>
      <c r="AK58" s="254" t="str">
        <f t="shared" si="14"/>
        <v/>
      </c>
      <c r="AL58" s="254" t="str">
        <f t="shared" si="14"/>
        <v/>
      </c>
      <c r="AM58" s="254" t="str">
        <f t="shared" si="14"/>
        <v/>
      </c>
      <c r="AN58" s="254" t="str">
        <f t="shared" si="14"/>
        <v/>
      </c>
      <c r="AO58" s="254" t="str">
        <f t="shared" si="14"/>
        <v>Y</v>
      </c>
      <c r="AP58" s="254"/>
      <c r="AQ58" s="254" t="str">
        <f t="shared" si="14"/>
        <v xml:space="preserve">AddInv: shunt-valve. </v>
      </c>
      <c r="AR58" s="205"/>
      <c r="AS58" s="205"/>
      <c r="AT58" s="205"/>
    </row>
    <row r="59" spans="1:46" s="173" customFormat="1" x14ac:dyDescent="0.2">
      <c r="A59" s="202" t="s">
        <v>799</v>
      </c>
      <c r="B59" s="201" t="str">
        <f>B55&amp;"-"&amp;RIGHT(F59,3)&amp;"spl"</f>
        <v>R_ES-SH-DH-70_ELC02-SOLspl</v>
      </c>
      <c r="C59" s="203" t="s">
        <v>612</v>
      </c>
      <c r="D59" s="203" t="s">
        <v>672</v>
      </c>
      <c r="E59" s="190" t="str">
        <f t="shared" si="11"/>
        <v>Solar heating and hot tap water</v>
      </c>
      <c r="F59" s="254" t="str">
        <f t="shared" si="11"/>
        <v>RSDSOL</v>
      </c>
      <c r="G59" s="254" t="str">
        <f t="shared" si="11"/>
        <v/>
      </c>
      <c r="H59" s="203" t="s">
        <v>825</v>
      </c>
      <c r="I59" s="205"/>
      <c r="J59" s="205"/>
      <c r="K59" s="254">
        <f t="shared" si="14"/>
        <v>20</v>
      </c>
      <c r="L59" s="255">
        <f t="shared" si="14"/>
        <v>4396.5999999999985</v>
      </c>
      <c r="M59" s="255">
        <f t="shared" si="14"/>
        <v>5027.2139999999981</v>
      </c>
      <c r="N59" s="255">
        <f t="shared" si="14"/>
        <v>4759.8089999999984</v>
      </c>
      <c r="O59" s="255">
        <f t="shared" si="14"/>
        <v>3583.2269999999985</v>
      </c>
      <c r="P59" s="255">
        <f t="shared" si="14"/>
        <v>3583.2269999999985</v>
      </c>
      <c r="Q59" s="255">
        <f t="shared" si="14"/>
        <v>61</v>
      </c>
      <c r="R59" s="254" t="str">
        <f t="shared" si="14"/>
        <v/>
      </c>
      <c r="S59" s="260">
        <f t="shared" si="14"/>
        <v>1</v>
      </c>
      <c r="T59" s="260">
        <f t="shared" si="14"/>
        <v>1</v>
      </c>
      <c r="U59" s="260">
        <f t="shared" si="14"/>
        <v>1</v>
      </c>
      <c r="V59" s="260">
        <f t="shared" si="14"/>
        <v>1</v>
      </c>
      <c r="W59" s="260">
        <f t="shared" si="14"/>
        <v>1</v>
      </c>
      <c r="X59" s="254" t="str">
        <f t="shared" si="14"/>
        <v/>
      </c>
      <c r="Y59" s="254" t="str">
        <f t="shared" si="14"/>
        <v/>
      </c>
      <c r="Z59" s="254" t="str">
        <f t="shared" si="14"/>
        <v/>
      </c>
      <c r="AA59" s="254" t="str">
        <f t="shared" si="14"/>
        <v/>
      </c>
      <c r="AB59" s="254" t="str">
        <f t="shared" si="14"/>
        <v/>
      </c>
      <c r="AC59" s="254" t="str">
        <f t="shared" si="14"/>
        <v/>
      </c>
      <c r="AD59" s="254" t="str">
        <f t="shared" si="14"/>
        <v/>
      </c>
      <c r="AE59" s="196">
        <f t="shared" si="14"/>
        <v>0.3</v>
      </c>
      <c r="AF59" s="196">
        <f t="shared" si="14"/>
        <v>1</v>
      </c>
      <c r="AG59" s="196" t="str">
        <f t="shared" si="14"/>
        <v/>
      </c>
      <c r="AH59" s="254" t="str">
        <f t="shared" si="14"/>
        <v/>
      </c>
      <c r="AI59" s="254" t="str">
        <f t="shared" si="14"/>
        <v/>
      </c>
      <c r="AJ59" s="254" t="str">
        <f t="shared" si="14"/>
        <v/>
      </c>
      <c r="AK59" s="254" t="str">
        <f t="shared" si="14"/>
        <v/>
      </c>
      <c r="AL59" s="254" t="str">
        <f t="shared" si="14"/>
        <v/>
      </c>
      <c r="AM59" s="254" t="str">
        <f t="shared" si="14"/>
        <v/>
      </c>
      <c r="AN59" s="254" t="str">
        <f t="shared" si="14"/>
        <v/>
      </c>
      <c r="AO59" s="254" t="str">
        <f t="shared" si="14"/>
        <v/>
      </c>
      <c r="AP59" s="254"/>
      <c r="AQ59" s="254" t="str">
        <f t="shared" si="14"/>
        <v xml:space="preserve">AddInv: shunt-valve. </v>
      </c>
      <c r="AR59" s="205"/>
      <c r="AS59" s="205"/>
      <c r="AT59" s="205"/>
    </row>
    <row r="60" spans="1:46" s="173" customFormat="1" x14ac:dyDescent="0.2">
      <c r="A60" s="203" t="s">
        <v>601</v>
      </c>
      <c r="B60" s="203" t="s">
        <v>680</v>
      </c>
      <c r="C60" s="203" t="s">
        <v>614</v>
      </c>
      <c r="D60" s="203" t="s">
        <v>672</v>
      </c>
      <c r="E60" s="190" t="str">
        <f t="shared" si="11"/>
        <v>HP-e-air-to-water</v>
      </c>
      <c r="F60" s="254" t="str">
        <f t="shared" si="11"/>
        <v>RSDELC</v>
      </c>
      <c r="G60" s="254" t="str">
        <f t="shared" si="11"/>
        <v>RSDAHT</v>
      </c>
      <c r="H60" s="201" t="s">
        <v>825</v>
      </c>
      <c r="I60" s="205"/>
      <c r="J60" s="205"/>
      <c r="K60" s="254">
        <f t="shared" si="14"/>
        <v>20</v>
      </c>
      <c r="L60" s="255">
        <f t="shared" si="14"/>
        <v>15389</v>
      </c>
      <c r="M60" s="255">
        <f t="shared" si="14"/>
        <v>14003.99</v>
      </c>
      <c r="N60" s="255">
        <f t="shared" si="14"/>
        <v>14003.99</v>
      </c>
      <c r="O60" s="255">
        <f t="shared" si="14"/>
        <v>12618.98</v>
      </c>
      <c r="P60" s="255">
        <f t="shared" si="14"/>
        <v>12618.98</v>
      </c>
      <c r="Q60" s="255">
        <f t="shared" si="14"/>
        <v>246</v>
      </c>
      <c r="R60" s="254" t="str">
        <f t="shared" si="14"/>
        <v/>
      </c>
      <c r="S60" s="260">
        <f t="shared" si="14"/>
        <v>3.1</v>
      </c>
      <c r="T60" s="260">
        <f t="shared" si="14"/>
        <v>3.3</v>
      </c>
      <c r="U60" s="260">
        <f t="shared" si="14"/>
        <v>3.7</v>
      </c>
      <c r="V60" s="260">
        <f t="shared" si="14"/>
        <v>4</v>
      </c>
      <c r="W60" s="260">
        <f t="shared" si="14"/>
        <v>4</v>
      </c>
      <c r="X60" s="254" t="str">
        <f t="shared" si="14"/>
        <v/>
      </c>
      <c r="Y60" s="254" t="str">
        <f t="shared" si="14"/>
        <v/>
      </c>
      <c r="Z60" s="254" t="str">
        <f t="shared" si="14"/>
        <v/>
      </c>
      <c r="AA60" s="254" t="str">
        <f t="shared" si="14"/>
        <v/>
      </c>
      <c r="AB60" s="254" t="str">
        <f t="shared" si="14"/>
        <v/>
      </c>
      <c r="AC60" s="254" t="str">
        <f t="shared" si="14"/>
        <v/>
      </c>
      <c r="AD60" s="254" t="str">
        <f t="shared" si="14"/>
        <v/>
      </c>
      <c r="AE60" s="196">
        <f t="shared" si="14"/>
        <v>1</v>
      </c>
      <c r="AF60" s="196">
        <f t="shared" si="14"/>
        <v>1</v>
      </c>
      <c r="AG60" s="196" t="str">
        <f t="shared" si="14"/>
        <v/>
      </c>
      <c r="AH60" s="254" t="str">
        <f t="shared" si="14"/>
        <v/>
      </c>
      <c r="AI60" s="254" t="str">
        <f t="shared" si="14"/>
        <v/>
      </c>
      <c r="AJ60" s="254" t="str">
        <f t="shared" si="14"/>
        <v/>
      </c>
      <c r="AK60" s="254" t="str">
        <f t="shared" si="14"/>
        <v/>
      </c>
      <c r="AL60" s="254" t="str">
        <f t="shared" si="14"/>
        <v/>
      </c>
      <c r="AM60" s="254" t="str">
        <f t="shared" si="14"/>
        <v/>
      </c>
      <c r="AN60" s="254" t="str">
        <f t="shared" si="14"/>
        <v/>
      </c>
      <c r="AO60" s="254" t="str">
        <f t="shared" si="14"/>
        <v/>
      </c>
      <c r="AP60" s="254"/>
      <c r="AQ60" s="254" t="str">
        <f t="shared" ref="AQ60" si="15">IF(AQ19="","",AQ19)</f>
        <v/>
      </c>
      <c r="AR60" s="205"/>
      <c r="AS60" s="205"/>
      <c r="AT60" s="205"/>
    </row>
    <row r="61" spans="1:46" s="173" customFormat="1" x14ac:dyDescent="0.2">
      <c r="A61" s="201" t="s">
        <v>601</v>
      </c>
      <c r="B61" s="203" t="s">
        <v>681</v>
      </c>
      <c r="C61" s="201" t="s">
        <v>616</v>
      </c>
      <c r="D61" s="201" t="s">
        <v>672</v>
      </c>
      <c r="E61" s="190" t="str">
        <f t="shared" ref="E61:G76" si="16">IF(E20="","",E20)</f>
        <v>HP-e-air-to-water + add costs</v>
      </c>
      <c r="F61" s="254" t="str">
        <f t="shared" si="16"/>
        <v>RSDELC</v>
      </c>
      <c r="G61" s="254" t="str">
        <f t="shared" si="16"/>
        <v>RSDAHT</v>
      </c>
      <c r="H61" s="201" t="s">
        <v>828</v>
      </c>
      <c r="I61" s="205"/>
      <c r="J61" s="205"/>
      <c r="K61" s="254">
        <f t="shared" ref="K61:AQ68" si="17">IF(K20="","",K20)</f>
        <v>20</v>
      </c>
      <c r="L61" s="255">
        <f t="shared" si="17"/>
        <v>16927.900000000001</v>
      </c>
      <c r="M61" s="255">
        <f t="shared" si="17"/>
        <v>15404.389000000001</v>
      </c>
      <c r="N61" s="255">
        <f t="shared" si="17"/>
        <v>15404.389000000001</v>
      </c>
      <c r="O61" s="255">
        <f t="shared" si="17"/>
        <v>13880.878000000001</v>
      </c>
      <c r="P61" s="255">
        <f t="shared" si="17"/>
        <v>13880.878000000001</v>
      </c>
      <c r="Q61" s="255">
        <f t="shared" si="17"/>
        <v>270.60000000000002</v>
      </c>
      <c r="R61" s="254" t="str">
        <f t="shared" si="17"/>
        <v/>
      </c>
      <c r="S61" s="260">
        <f t="shared" si="17"/>
        <v>3.1</v>
      </c>
      <c r="T61" s="260">
        <f t="shared" si="17"/>
        <v>3.3</v>
      </c>
      <c r="U61" s="260">
        <f t="shared" si="17"/>
        <v>3.7</v>
      </c>
      <c r="V61" s="260">
        <f t="shared" si="17"/>
        <v>4</v>
      </c>
      <c r="W61" s="260">
        <f t="shared" si="17"/>
        <v>4</v>
      </c>
      <c r="X61" s="254" t="str">
        <f t="shared" si="17"/>
        <v/>
      </c>
      <c r="Y61" s="254" t="str">
        <f t="shared" si="17"/>
        <v/>
      </c>
      <c r="Z61" s="254" t="str">
        <f t="shared" si="17"/>
        <v/>
      </c>
      <c r="AA61" s="254" t="str">
        <f t="shared" si="17"/>
        <v/>
      </c>
      <c r="AB61" s="254" t="str">
        <f t="shared" si="17"/>
        <v/>
      </c>
      <c r="AC61" s="254" t="str">
        <f t="shared" si="17"/>
        <v/>
      </c>
      <c r="AD61" s="254" t="str">
        <f t="shared" si="17"/>
        <v/>
      </c>
      <c r="AE61" s="196">
        <f t="shared" si="17"/>
        <v>1</v>
      </c>
      <c r="AF61" s="196">
        <f t="shared" si="17"/>
        <v>1</v>
      </c>
      <c r="AG61" s="196">
        <f t="shared" si="17"/>
        <v>1</v>
      </c>
      <c r="AH61" s="254" t="str">
        <f t="shared" si="17"/>
        <v/>
      </c>
      <c r="AI61" s="254" t="str">
        <f t="shared" si="17"/>
        <v/>
      </c>
      <c r="AJ61" s="254" t="str">
        <f t="shared" si="17"/>
        <v/>
      </c>
      <c r="AK61" s="254" t="str">
        <f t="shared" si="17"/>
        <v/>
      </c>
      <c r="AL61" s="254" t="str">
        <f t="shared" si="17"/>
        <v/>
      </c>
      <c r="AM61" s="254" t="str">
        <f t="shared" si="17"/>
        <v/>
      </c>
      <c r="AN61" s="254">
        <f t="shared" si="17"/>
        <v>1.1000000000000001</v>
      </c>
      <c r="AO61" s="254" t="str">
        <f t="shared" si="17"/>
        <v/>
      </c>
      <c r="AP61" s="254"/>
      <c r="AQ61" s="254" t="str">
        <f t="shared" si="17"/>
        <v/>
      </c>
      <c r="AR61" s="205"/>
      <c r="AS61" s="205"/>
      <c r="AT61" s="205"/>
    </row>
    <row r="62" spans="1:46" s="173" customFormat="1" x14ac:dyDescent="0.2">
      <c r="A62" s="203" t="s">
        <v>601</v>
      </c>
      <c r="B62" s="203" t="s">
        <v>682</v>
      </c>
      <c r="C62" s="203" t="s">
        <v>619</v>
      </c>
      <c r="D62" s="203" t="s">
        <v>672</v>
      </c>
      <c r="E62" s="190" t="str">
        <f t="shared" si="16"/>
        <v>Heat pump, ground source</v>
      </c>
      <c r="F62" s="254" t="str">
        <f t="shared" si="16"/>
        <v>RSDELC</v>
      </c>
      <c r="G62" s="254" t="str">
        <f t="shared" si="16"/>
        <v>RSDGHT</v>
      </c>
      <c r="H62" s="201" t="s">
        <v>825</v>
      </c>
      <c r="I62" s="205"/>
      <c r="J62" s="205"/>
      <c r="K62" s="254">
        <f t="shared" si="17"/>
        <v>20</v>
      </c>
      <c r="L62" s="255">
        <f t="shared" si="17"/>
        <v>16350</v>
      </c>
      <c r="M62" s="255">
        <f t="shared" si="17"/>
        <v>15205.5</v>
      </c>
      <c r="N62" s="255">
        <f t="shared" si="17"/>
        <v>14061</v>
      </c>
      <c r="O62" s="255">
        <f t="shared" si="17"/>
        <v>12916.5</v>
      </c>
      <c r="P62" s="255">
        <f t="shared" si="17"/>
        <v>12916.5</v>
      </c>
      <c r="Q62" s="255">
        <f t="shared" si="17"/>
        <v>300</v>
      </c>
      <c r="R62" s="254" t="str">
        <f t="shared" si="17"/>
        <v/>
      </c>
      <c r="S62" s="260">
        <f t="shared" si="17"/>
        <v>3.6</v>
      </c>
      <c r="T62" s="260">
        <f t="shared" si="17"/>
        <v>3.7</v>
      </c>
      <c r="U62" s="260">
        <f t="shared" si="17"/>
        <v>4</v>
      </c>
      <c r="V62" s="260">
        <f t="shared" si="17"/>
        <v>4.5</v>
      </c>
      <c r="W62" s="260">
        <f t="shared" si="17"/>
        <v>4.5</v>
      </c>
      <c r="X62" s="254" t="str">
        <f t="shared" si="17"/>
        <v/>
      </c>
      <c r="Y62" s="254" t="str">
        <f t="shared" si="17"/>
        <v/>
      </c>
      <c r="Z62" s="254" t="str">
        <f t="shared" si="17"/>
        <v/>
      </c>
      <c r="AA62" s="254" t="str">
        <f t="shared" si="17"/>
        <v/>
      </c>
      <c r="AB62" s="254" t="str">
        <f t="shared" si="17"/>
        <v/>
      </c>
      <c r="AC62" s="254" t="str">
        <f t="shared" si="17"/>
        <v/>
      </c>
      <c r="AD62" s="254" t="str">
        <f t="shared" si="17"/>
        <v/>
      </c>
      <c r="AE62" s="196">
        <f t="shared" si="17"/>
        <v>1</v>
      </c>
      <c r="AF62" s="196">
        <f t="shared" si="17"/>
        <v>1</v>
      </c>
      <c r="AG62" s="196" t="str">
        <f t="shared" si="17"/>
        <v/>
      </c>
      <c r="AH62" s="254" t="str">
        <f t="shared" si="17"/>
        <v/>
      </c>
      <c r="AI62" s="254" t="str">
        <f t="shared" si="17"/>
        <v/>
      </c>
      <c r="AJ62" s="254" t="str">
        <f t="shared" si="17"/>
        <v/>
      </c>
      <c r="AK62" s="254" t="str">
        <f t="shared" si="17"/>
        <v/>
      </c>
      <c r="AL62" s="254" t="str">
        <f t="shared" si="17"/>
        <v/>
      </c>
      <c r="AM62" s="254" t="str">
        <f t="shared" si="17"/>
        <v/>
      </c>
      <c r="AN62" s="254" t="str">
        <f t="shared" si="17"/>
        <v/>
      </c>
      <c r="AO62" s="254" t="str">
        <f t="shared" si="17"/>
        <v/>
      </c>
      <c r="AP62" s="254"/>
      <c r="AQ62" s="254" t="str">
        <f t="shared" si="17"/>
        <v/>
      </c>
      <c r="AR62" s="205"/>
      <c r="AS62" s="205"/>
      <c r="AT62" s="205"/>
    </row>
    <row r="63" spans="1:46" s="173" customFormat="1" x14ac:dyDescent="0.2">
      <c r="A63" s="201" t="s">
        <v>601</v>
      </c>
      <c r="B63" s="203" t="s">
        <v>683</v>
      </c>
      <c r="C63" s="201" t="s">
        <v>621</v>
      </c>
      <c r="D63" s="201" t="s">
        <v>672</v>
      </c>
      <c r="E63" s="190" t="str">
        <f t="shared" si="16"/>
        <v>Heat pump, ground source + add costs</v>
      </c>
      <c r="F63" s="254" t="str">
        <f t="shared" si="16"/>
        <v>RSDELC</v>
      </c>
      <c r="G63" s="254" t="str">
        <f t="shared" si="16"/>
        <v>RSDGHT</v>
      </c>
      <c r="H63" s="201" t="s">
        <v>828</v>
      </c>
      <c r="I63" s="205"/>
      <c r="J63" s="205"/>
      <c r="K63" s="254">
        <f t="shared" si="17"/>
        <v>20</v>
      </c>
      <c r="L63" s="255">
        <f t="shared" si="17"/>
        <v>17985</v>
      </c>
      <c r="M63" s="255">
        <f t="shared" si="17"/>
        <v>16726.050000000003</v>
      </c>
      <c r="N63" s="255">
        <f t="shared" si="17"/>
        <v>15467.1</v>
      </c>
      <c r="O63" s="255">
        <f t="shared" si="17"/>
        <v>14208.150000000001</v>
      </c>
      <c r="P63" s="255">
        <f t="shared" si="17"/>
        <v>14208.150000000001</v>
      </c>
      <c r="Q63" s="255">
        <f t="shared" si="17"/>
        <v>330</v>
      </c>
      <c r="R63" s="254" t="str">
        <f t="shared" si="17"/>
        <v/>
      </c>
      <c r="S63" s="260">
        <f t="shared" si="17"/>
        <v>3.6</v>
      </c>
      <c r="T63" s="260">
        <f t="shared" si="17"/>
        <v>3.7</v>
      </c>
      <c r="U63" s="260">
        <f t="shared" si="17"/>
        <v>4</v>
      </c>
      <c r="V63" s="260">
        <f t="shared" si="17"/>
        <v>4.5</v>
      </c>
      <c r="W63" s="260">
        <f t="shared" si="17"/>
        <v>4.5</v>
      </c>
      <c r="X63" s="254" t="str">
        <f t="shared" si="17"/>
        <v/>
      </c>
      <c r="Y63" s="254" t="str">
        <f t="shared" si="17"/>
        <v/>
      </c>
      <c r="Z63" s="254" t="str">
        <f t="shared" si="17"/>
        <v/>
      </c>
      <c r="AA63" s="254" t="str">
        <f t="shared" si="17"/>
        <v/>
      </c>
      <c r="AB63" s="254" t="str">
        <f t="shared" si="17"/>
        <v/>
      </c>
      <c r="AC63" s="254" t="str">
        <f t="shared" si="17"/>
        <v/>
      </c>
      <c r="AD63" s="254" t="str">
        <f t="shared" si="17"/>
        <v/>
      </c>
      <c r="AE63" s="196">
        <f t="shared" si="17"/>
        <v>1</v>
      </c>
      <c r="AF63" s="196">
        <f t="shared" si="17"/>
        <v>1</v>
      </c>
      <c r="AG63" s="196">
        <f t="shared" si="17"/>
        <v>1</v>
      </c>
      <c r="AH63" s="254" t="str">
        <f t="shared" si="17"/>
        <v/>
      </c>
      <c r="AI63" s="254" t="str">
        <f t="shared" si="17"/>
        <v/>
      </c>
      <c r="AJ63" s="254" t="str">
        <f t="shared" si="17"/>
        <v/>
      </c>
      <c r="AK63" s="254" t="str">
        <f t="shared" si="17"/>
        <v/>
      </c>
      <c r="AL63" s="254" t="str">
        <f t="shared" si="17"/>
        <v/>
      </c>
      <c r="AM63" s="254" t="str">
        <f t="shared" si="17"/>
        <v/>
      </c>
      <c r="AN63" s="254">
        <f t="shared" si="17"/>
        <v>1.1000000000000001</v>
      </c>
      <c r="AO63" s="254" t="str">
        <f t="shared" si="17"/>
        <v/>
      </c>
      <c r="AP63" s="254"/>
      <c r="AQ63" s="254" t="str">
        <f t="shared" si="17"/>
        <v/>
      </c>
      <c r="AR63" s="205"/>
      <c r="AS63" s="205"/>
      <c r="AT63" s="205"/>
    </row>
    <row r="64" spans="1:46" s="173" customFormat="1" x14ac:dyDescent="0.2">
      <c r="A64" s="203" t="s">
        <v>601</v>
      </c>
      <c r="B64" s="203" t="s">
        <v>684</v>
      </c>
      <c r="C64" s="203" t="s">
        <v>623</v>
      </c>
      <c r="D64" s="203" t="s">
        <v>672</v>
      </c>
      <c r="E64" s="190" t="str">
        <f t="shared" si="16"/>
        <v>Heat pump, ground source</v>
      </c>
      <c r="F64" s="254" t="str">
        <f t="shared" si="16"/>
        <v>RSDELC</v>
      </c>
      <c r="G64" s="254" t="str">
        <f t="shared" si="16"/>
        <v>RSDGHT</v>
      </c>
      <c r="H64" s="201" t="s">
        <v>825</v>
      </c>
      <c r="I64" s="205"/>
      <c r="J64" s="205"/>
      <c r="K64" s="254">
        <f t="shared" si="17"/>
        <v>20</v>
      </c>
      <c r="L64" s="255">
        <f t="shared" si="17"/>
        <v>25800</v>
      </c>
      <c r="M64" s="255">
        <f t="shared" si="17"/>
        <v>24655.5</v>
      </c>
      <c r="N64" s="255">
        <f t="shared" si="17"/>
        <v>23511</v>
      </c>
      <c r="O64" s="255">
        <f t="shared" si="17"/>
        <v>22366.5</v>
      </c>
      <c r="P64" s="255">
        <f t="shared" si="17"/>
        <v>22366.5</v>
      </c>
      <c r="Q64" s="255">
        <f t="shared" si="17"/>
        <v>300</v>
      </c>
      <c r="R64" s="254" t="str">
        <f t="shared" si="17"/>
        <v/>
      </c>
      <c r="S64" s="260">
        <f t="shared" si="17"/>
        <v>3.6</v>
      </c>
      <c r="T64" s="260">
        <f t="shared" si="17"/>
        <v>3.7</v>
      </c>
      <c r="U64" s="260">
        <f t="shared" si="17"/>
        <v>4</v>
      </c>
      <c r="V64" s="260">
        <f t="shared" si="17"/>
        <v>4.5</v>
      </c>
      <c r="W64" s="260">
        <f t="shared" si="17"/>
        <v>4.5</v>
      </c>
      <c r="X64" s="254" t="str">
        <f t="shared" si="17"/>
        <v/>
      </c>
      <c r="Y64" s="254" t="str">
        <f t="shared" si="17"/>
        <v/>
      </c>
      <c r="Z64" s="254" t="str">
        <f t="shared" si="17"/>
        <v/>
      </c>
      <c r="AA64" s="254" t="str">
        <f t="shared" si="17"/>
        <v/>
      </c>
      <c r="AB64" s="254" t="str">
        <f t="shared" si="17"/>
        <v/>
      </c>
      <c r="AC64" s="254" t="str">
        <f t="shared" si="17"/>
        <v/>
      </c>
      <c r="AD64" s="254" t="str">
        <f t="shared" si="17"/>
        <v/>
      </c>
      <c r="AE64" s="196">
        <f t="shared" si="17"/>
        <v>1</v>
      </c>
      <c r="AF64" s="196">
        <f t="shared" si="17"/>
        <v>1</v>
      </c>
      <c r="AG64" s="196" t="str">
        <f t="shared" si="17"/>
        <v/>
      </c>
      <c r="AH64" s="254" t="str">
        <f t="shared" si="17"/>
        <v/>
      </c>
      <c r="AI64" s="254" t="str">
        <f t="shared" si="17"/>
        <v/>
      </c>
      <c r="AJ64" s="254" t="str">
        <f t="shared" si="17"/>
        <v/>
      </c>
      <c r="AK64" s="254" t="str">
        <f t="shared" si="17"/>
        <v/>
      </c>
      <c r="AL64" s="254" t="str">
        <f t="shared" si="17"/>
        <v/>
      </c>
      <c r="AM64" s="254" t="str">
        <f t="shared" si="17"/>
        <v/>
      </c>
      <c r="AN64" s="254" t="str">
        <f t="shared" si="17"/>
        <v/>
      </c>
      <c r="AO64" s="254" t="str">
        <f t="shared" si="17"/>
        <v>Y</v>
      </c>
      <c r="AP64" s="254"/>
      <c r="AQ64" s="254" t="str">
        <f t="shared" si="17"/>
        <v>Dominated tech by horizontal tech</v>
      </c>
      <c r="AR64" s="205"/>
      <c r="AS64" s="205"/>
      <c r="AT64" s="205"/>
    </row>
    <row r="65" spans="1:46" s="173" customFormat="1" x14ac:dyDescent="0.2">
      <c r="A65" s="201" t="s">
        <v>601</v>
      </c>
      <c r="B65" s="203" t="s">
        <v>685</v>
      </c>
      <c r="C65" s="201" t="s">
        <v>626</v>
      </c>
      <c r="D65" s="201" t="s">
        <v>672</v>
      </c>
      <c r="E65" s="190" t="str">
        <f t="shared" si="16"/>
        <v>Heat pump, ground source + add costs</v>
      </c>
      <c r="F65" s="254" t="str">
        <f t="shared" si="16"/>
        <v>RSDELC</v>
      </c>
      <c r="G65" s="254" t="str">
        <f t="shared" si="16"/>
        <v>RSDGHT</v>
      </c>
      <c r="H65" s="201" t="s">
        <v>828</v>
      </c>
      <c r="I65" s="205"/>
      <c r="J65" s="205"/>
      <c r="K65" s="254">
        <f t="shared" si="17"/>
        <v>20</v>
      </c>
      <c r="L65" s="255">
        <f t="shared" si="17"/>
        <v>28380.000000000004</v>
      </c>
      <c r="M65" s="255">
        <f t="shared" si="17"/>
        <v>27121.050000000003</v>
      </c>
      <c r="N65" s="255">
        <f t="shared" si="17"/>
        <v>25862.100000000002</v>
      </c>
      <c r="O65" s="255">
        <f t="shared" si="17"/>
        <v>24603.15</v>
      </c>
      <c r="P65" s="255">
        <f t="shared" si="17"/>
        <v>24603.15</v>
      </c>
      <c r="Q65" s="255">
        <f t="shared" si="17"/>
        <v>330</v>
      </c>
      <c r="R65" s="254" t="str">
        <f t="shared" si="17"/>
        <v/>
      </c>
      <c r="S65" s="260">
        <f t="shared" si="17"/>
        <v>3.6</v>
      </c>
      <c r="T65" s="260">
        <f t="shared" si="17"/>
        <v>3.7</v>
      </c>
      <c r="U65" s="260">
        <f t="shared" si="17"/>
        <v>4</v>
      </c>
      <c r="V65" s="260">
        <f t="shared" si="17"/>
        <v>4.5</v>
      </c>
      <c r="W65" s="260">
        <f t="shared" si="17"/>
        <v>4.5</v>
      </c>
      <c r="X65" s="254" t="str">
        <f t="shared" si="17"/>
        <v/>
      </c>
      <c r="Y65" s="254" t="str">
        <f t="shared" si="17"/>
        <v/>
      </c>
      <c r="Z65" s="254" t="str">
        <f t="shared" si="17"/>
        <v/>
      </c>
      <c r="AA65" s="254" t="str">
        <f t="shared" si="17"/>
        <v/>
      </c>
      <c r="AB65" s="254" t="str">
        <f t="shared" si="17"/>
        <v/>
      </c>
      <c r="AC65" s="254" t="str">
        <f t="shared" si="17"/>
        <v/>
      </c>
      <c r="AD65" s="254" t="str">
        <f t="shared" si="17"/>
        <v/>
      </c>
      <c r="AE65" s="196">
        <f t="shared" si="17"/>
        <v>1</v>
      </c>
      <c r="AF65" s="196">
        <f t="shared" si="17"/>
        <v>1</v>
      </c>
      <c r="AG65" s="196">
        <f t="shared" si="17"/>
        <v>1</v>
      </c>
      <c r="AH65" s="254" t="str">
        <f t="shared" si="17"/>
        <v/>
      </c>
      <c r="AI65" s="254" t="str">
        <f t="shared" si="17"/>
        <v/>
      </c>
      <c r="AJ65" s="254" t="str">
        <f t="shared" si="17"/>
        <v/>
      </c>
      <c r="AK65" s="254" t="str">
        <f t="shared" si="17"/>
        <v/>
      </c>
      <c r="AL65" s="254" t="str">
        <f t="shared" si="17"/>
        <v/>
      </c>
      <c r="AM65" s="254" t="str">
        <f t="shared" si="17"/>
        <v/>
      </c>
      <c r="AN65" s="254">
        <f t="shared" si="17"/>
        <v>1.1000000000000001</v>
      </c>
      <c r="AO65" s="254" t="str">
        <f t="shared" si="17"/>
        <v>Y</v>
      </c>
      <c r="AP65" s="254"/>
      <c r="AQ65" s="254" t="str">
        <f t="shared" si="17"/>
        <v/>
      </c>
      <c r="AR65" s="205"/>
      <c r="AS65" s="205"/>
      <c r="AT65" s="205"/>
    </row>
    <row r="66" spans="1:46" s="173" customFormat="1" x14ac:dyDescent="0.2">
      <c r="A66" s="203" t="s">
        <v>601</v>
      </c>
      <c r="B66" s="203" t="s">
        <v>686</v>
      </c>
      <c r="C66" s="203" t="s">
        <v>629</v>
      </c>
      <c r="D66" s="203" t="s">
        <v>672</v>
      </c>
      <c r="E66" s="190" t="str">
        <f t="shared" si="16"/>
        <v>HP-e-groundwater</v>
      </c>
      <c r="F66" s="254" t="str">
        <f t="shared" si="16"/>
        <v>RSDELC</v>
      </c>
      <c r="G66" s="254" t="str">
        <f t="shared" si="16"/>
        <v>RSDGHT</v>
      </c>
      <c r="H66" s="201" t="s">
        <v>825</v>
      </c>
      <c r="I66" s="205"/>
      <c r="J66" s="205"/>
      <c r="K66" s="254">
        <f t="shared" si="17"/>
        <v>25</v>
      </c>
      <c r="L66" s="255">
        <f t="shared" si="17"/>
        <v>25735</v>
      </c>
      <c r="M66" s="255">
        <f t="shared" si="17"/>
        <v>25735</v>
      </c>
      <c r="N66" s="255">
        <f t="shared" si="17"/>
        <v>21647.5</v>
      </c>
      <c r="O66" s="255">
        <f t="shared" si="17"/>
        <v>21647.5</v>
      </c>
      <c r="P66" s="255">
        <f t="shared" si="17"/>
        <v>20012.5</v>
      </c>
      <c r="Q66" s="255">
        <f t="shared" si="17"/>
        <v>300</v>
      </c>
      <c r="R66" s="254" t="str">
        <f t="shared" si="17"/>
        <v/>
      </c>
      <c r="S66" s="260">
        <f t="shared" si="17"/>
        <v>3.52</v>
      </c>
      <c r="T66" s="260">
        <f t="shared" si="17"/>
        <v>3.52</v>
      </c>
      <c r="U66" s="260">
        <f t="shared" si="17"/>
        <v>4.9279999999999999</v>
      </c>
      <c r="V66" s="260">
        <f t="shared" si="17"/>
        <v>4.9279999999999999</v>
      </c>
      <c r="W66" s="260">
        <f t="shared" si="17"/>
        <v>5.28</v>
      </c>
      <c r="X66" s="254" t="str">
        <f t="shared" si="17"/>
        <v/>
      </c>
      <c r="Y66" s="254" t="str">
        <f t="shared" si="17"/>
        <v/>
      </c>
      <c r="Z66" s="254" t="str">
        <f t="shared" si="17"/>
        <v/>
      </c>
      <c r="AA66" s="254" t="str">
        <f t="shared" si="17"/>
        <v/>
      </c>
      <c r="AB66" s="254" t="str">
        <f t="shared" si="17"/>
        <v/>
      </c>
      <c r="AC66" s="254" t="str">
        <f t="shared" si="17"/>
        <v/>
      </c>
      <c r="AD66" s="254" t="str">
        <f t="shared" si="17"/>
        <v/>
      </c>
      <c r="AE66" s="196">
        <f t="shared" si="17"/>
        <v>1</v>
      </c>
      <c r="AF66" s="196">
        <f t="shared" si="17"/>
        <v>1</v>
      </c>
      <c r="AG66" s="196" t="str">
        <f t="shared" si="17"/>
        <v/>
      </c>
      <c r="AH66" s="254" t="str">
        <f t="shared" si="17"/>
        <v/>
      </c>
      <c r="AI66" s="254" t="str">
        <f t="shared" si="17"/>
        <v/>
      </c>
      <c r="AJ66" s="254" t="str">
        <f t="shared" si="17"/>
        <v/>
      </c>
      <c r="AK66" s="254" t="str">
        <f t="shared" si="17"/>
        <v/>
      </c>
      <c r="AL66" s="254" t="str">
        <f t="shared" si="17"/>
        <v/>
      </c>
      <c r="AM66" s="254" t="str">
        <f t="shared" si="17"/>
        <v/>
      </c>
      <c r="AN66" s="254" t="str">
        <f t="shared" si="17"/>
        <v/>
      </c>
      <c r="AO66" s="254" t="str">
        <f t="shared" si="17"/>
        <v>Y</v>
      </c>
      <c r="AP66" s="254"/>
      <c r="AQ66" s="254" t="str">
        <f t="shared" si="17"/>
        <v>Drilling costs &amp; heat exchanger</v>
      </c>
      <c r="AR66" s="205"/>
      <c r="AS66" s="205"/>
      <c r="AT66" s="205"/>
    </row>
    <row r="67" spans="1:46" s="175" customFormat="1" x14ac:dyDescent="0.2">
      <c r="A67" s="206" t="s">
        <v>601</v>
      </c>
      <c r="B67" s="208" t="s">
        <v>687</v>
      </c>
      <c r="C67" s="206" t="s">
        <v>632</v>
      </c>
      <c r="D67" s="206" t="s">
        <v>672</v>
      </c>
      <c r="E67" s="191" t="str">
        <f t="shared" si="16"/>
        <v>HP-e-groundwater + add costs</v>
      </c>
      <c r="F67" s="257" t="str">
        <f t="shared" si="16"/>
        <v>RSDELC</v>
      </c>
      <c r="G67" s="257" t="str">
        <f t="shared" si="16"/>
        <v>RSDGHT</v>
      </c>
      <c r="H67" s="206" t="s">
        <v>828</v>
      </c>
      <c r="I67" s="206"/>
      <c r="J67" s="206"/>
      <c r="K67" s="257">
        <f t="shared" si="17"/>
        <v>25</v>
      </c>
      <c r="L67" s="258">
        <f t="shared" si="17"/>
        <v>28308.500000000004</v>
      </c>
      <c r="M67" s="258">
        <f t="shared" si="17"/>
        <v>28308.500000000004</v>
      </c>
      <c r="N67" s="258">
        <f t="shared" si="17"/>
        <v>23812.250000000004</v>
      </c>
      <c r="O67" s="258">
        <f t="shared" si="17"/>
        <v>23812.250000000004</v>
      </c>
      <c r="P67" s="258">
        <f t="shared" si="17"/>
        <v>22013.75</v>
      </c>
      <c r="Q67" s="258">
        <f t="shared" si="17"/>
        <v>330</v>
      </c>
      <c r="R67" s="257" t="str">
        <f t="shared" si="17"/>
        <v/>
      </c>
      <c r="S67" s="261">
        <f t="shared" si="17"/>
        <v>3.52</v>
      </c>
      <c r="T67" s="261">
        <f t="shared" si="17"/>
        <v>3.52</v>
      </c>
      <c r="U67" s="261">
        <f t="shared" si="17"/>
        <v>4.9279999999999999</v>
      </c>
      <c r="V67" s="261">
        <f t="shared" si="17"/>
        <v>4.9279999999999999</v>
      </c>
      <c r="W67" s="261">
        <f t="shared" si="17"/>
        <v>5.28</v>
      </c>
      <c r="X67" s="257" t="str">
        <f t="shared" si="17"/>
        <v/>
      </c>
      <c r="Y67" s="257" t="str">
        <f t="shared" si="17"/>
        <v/>
      </c>
      <c r="Z67" s="257" t="str">
        <f t="shared" si="17"/>
        <v/>
      </c>
      <c r="AA67" s="257" t="str">
        <f t="shared" si="17"/>
        <v/>
      </c>
      <c r="AB67" s="257" t="str">
        <f t="shared" si="17"/>
        <v/>
      </c>
      <c r="AC67" s="257" t="str">
        <f t="shared" si="17"/>
        <v/>
      </c>
      <c r="AD67" s="257" t="str">
        <f t="shared" si="17"/>
        <v/>
      </c>
      <c r="AE67" s="197">
        <f t="shared" si="17"/>
        <v>1</v>
      </c>
      <c r="AF67" s="197">
        <f t="shared" si="17"/>
        <v>1</v>
      </c>
      <c r="AG67" s="197">
        <f t="shared" si="17"/>
        <v>1</v>
      </c>
      <c r="AH67" s="257" t="str">
        <f t="shared" si="17"/>
        <v/>
      </c>
      <c r="AI67" s="257" t="str">
        <f t="shared" si="17"/>
        <v/>
      </c>
      <c r="AJ67" s="257" t="str">
        <f t="shared" si="17"/>
        <v/>
      </c>
      <c r="AK67" s="257" t="str">
        <f t="shared" si="17"/>
        <v/>
      </c>
      <c r="AL67" s="257" t="str">
        <f t="shared" si="17"/>
        <v/>
      </c>
      <c r="AM67" s="257" t="str">
        <f t="shared" si="17"/>
        <v/>
      </c>
      <c r="AN67" s="257">
        <f t="shared" si="17"/>
        <v>1.1000000000000001</v>
      </c>
      <c r="AO67" s="257" t="str">
        <f t="shared" si="17"/>
        <v>Y</v>
      </c>
      <c r="AP67" s="257"/>
      <c r="AQ67" s="257" t="str">
        <f t="shared" si="17"/>
        <v>Drilling costs &amp; heat exchanger</v>
      </c>
      <c r="AR67" s="206"/>
      <c r="AS67" s="206"/>
      <c r="AT67" s="206"/>
    </row>
    <row r="68" spans="1:46" s="173" customFormat="1" x14ac:dyDescent="0.2">
      <c r="A68" s="201" t="s">
        <v>634</v>
      </c>
      <c r="B68" s="201" t="s">
        <v>688</v>
      </c>
      <c r="C68" s="201" t="s">
        <v>636</v>
      </c>
      <c r="D68" s="201" t="s">
        <v>672</v>
      </c>
      <c r="E68" s="190" t="str">
        <f t="shared" si="16"/>
        <v>GHP – direct-fired absorption heat pump air/brine to water</v>
      </c>
      <c r="F68" s="254" t="str">
        <f t="shared" si="16"/>
        <v>RSDGAS, RSDLPG, RSDBGS</v>
      </c>
      <c r="G68" s="254" t="str">
        <f t="shared" si="16"/>
        <v>RSDAHT</v>
      </c>
      <c r="H68" s="201" t="s">
        <v>825</v>
      </c>
      <c r="I68" s="205"/>
      <c r="J68" s="205"/>
      <c r="K68" s="254">
        <f t="shared" si="17"/>
        <v>22</v>
      </c>
      <c r="L68" s="255">
        <f t="shared" si="17"/>
        <v>28900</v>
      </c>
      <c r="M68" s="255">
        <f t="shared" si="17"/>
        <v>28900</v>
      </c>
      <c r="N68" s="255">
        <f t="shared" si="17"/>
        <v>27166</v>
      </c>
      <c r="O68" s="255">
        <f t="shared" si="17"/>
        <v>27166</v>
      </c>
      <c r="P68" s="255">
        <f t="shared" si="17"/>
        <v>27166</v>
      </c>
      <c r="Q68" s="255">
        <f t="shared" si="17"/>
        <v>155</v>
      </c>
      <c r="R68" s="254" t="str">
        <f t="shared" si="17"/>
        <v/>
      </c>
      <c r="S68" s="260">
        <f t="shared" si="17"/>
        <v>1.35</v>
      </c>
      <c r="T68" s="260">
        <f t="shared" si="17"/>
        <v>1.45</v>
      </c>
      <c r="U68" s="260">
        <f t="shared" si="17"/>
        <v>1.7</v>
      </c>
      <c r="V68" s="260">
        <f t="shared" si="17"/>
        <v>1.7</v>
      </c>
      <c r="W68" s="260">
        <f t="shared" si="17"/>
        <v>1.7</v>
      </c>
      <c r="X68" s="254" t="str">
        <f t="shared" si="17"/>
        <v/>
      </c>
      <c r="Y68" s="254" t="str">
        <f t="shared" si="17"/>
        <v/>
      </c>
      <c r="Z68" s="254" t="str">
        <f t="shared" si="17"/>
        <v/>
      </c>
      <c r="AA68" s="254" t="str">
        <f t="shared" si="17"/>
        <v/>
      </c>
      <c r="AB68" s="254" t="str">
        <f t="shared" si="17"/>
        <v/>
      </c>
      <c r="AC68" s="254" t="str">
        <f t="shared" si="17"/>
        <v/>
      </c>
      <c r="AD68" s="254" t="str">
        <f t="shared" si="17"/>
        <v/>
      </c>
      <c r="AE68" s="196">
        <f t="shared" si="17"/>
        <v>1</v>
      </c>
      <c r="AF68" s="196">
        <f t="shared" si="17"/>
        <v>1</v>
      </c>
      <c r="AG68" s="196" t="str">
        <f t="shared" si="17"/>
        <v/>
      </c>
      <c r="AH68" s="254" t="str">
        <f t="shared" si="17"/>
        <v/>
      </c>
      <c r="AI68" s="254" t="str">
        <f t="shared" si="17"/>
        <v/>
      </c>
      <c r="AJ68" s="254" t="str">
        <f t="shared" si="17"/>
        <v/>
      </c>
      <c r="AK68" s="254" t="str">
        <f t="shared" si="17"/>
        <v/>
      </c>
      <c r="AL68" s="254" t="str">
        <f t="shared" si="17"/>
        <v/>
      </c>
      <c r="AM68" s="254" t="str">
        <f t="shared" si="17"/>
        <v/>
      </c>
      <c r="AN68" s="254" t="str">
        <f t="shared" si="17"/>
        <v/>
      </c>
      <c r="AO68" s="254" t="str">
        <f t="shared" si="17"/>
        <v/>
      </c>
      <c r="AP68" s="254"/>
      <c r="AQ68" s="254" t="str">
        <f t="shared" ref="AQ68" si="18">IF(AQ27="","",AQ27)</f>
        <v/>
      </c>
      <c r="AR68" s="205"/>
      <c r="AS68" s="205"/>
      <c r="AT68" s="205"/>
    </row>
    <row r="69" spans="1:46" s="173" customFormat="1" x14ac:dyDescent="0.2">
      <c r="A69" s="201" t="s">
        <v>634</v>
      </c>
      <c r="B69" s="201" t="s">
        <v>689</v>
      </c>
      <c r="C69" s="201" t="s">
        <v>640</v>
      </c>
      <c r="D69" s="201" t="s">
        <v>672</v>
      </c>
      <c r="E69" s="190" t="str">
        <f t="shared" si="16"/>
        <v>GHP – direct-fired absorption heat pump air/brine to water + add costs</v>
      </c>
      <c r="F69" s="254" t="str">
        <f t="shared" si="16"/>
        <v>RSDGAS, RSDLPG, RSDBGS</v>
      </c>
      <c r="G69" s="254" t="str">
        <f t="shared" si="16"/>
        <v>RSDAHT</v>
      </c>
      <c r="H69" s="201" t="s">
        <v>828</v>
      </c>
      <c r="I69" s="205"/>
      <c r="J69" s="205"/>
      <c r="K69" s="254">
        <f t="shared" ref="K69:AQ76" si="19">IF(K28="","",K28)</f>
        <v>22</v>
      </c>
      <c r="L69" s="255">
        <f t="shared" si="19"/>
        <v>31790.000000000004</v>
      </c>
      <c r="M69" s="255">
        <f t="shared" si="19"/>
        <v>31790.000000000004</v>
      </c>
      <c r="N69" s="255">
        <f t="shared" si="19"/>
        <v>29882.600000000002</v>
      </c>
      <c r="O69" s="255">
        <f t="shared" si="19"/>
        <v>29882.600000000002</v>
      </c>
      <c r="P69" s="255">
        <f t="shared" si="19"/>
        <v>29882.600000000002</v>
      </c>
      <c r="Q69" s="255">
        <f t="shared" si="19"/>
        <v>170.5</v>
      </c>
      <c r="R69" s="254" t="str">
        <f t="shared" si="19"/>
        <v/>
      </c>
      <c r="S69" s="260">
        <f t="shared" si="19"/>
        <v>1.35</v>
      </c>
      <c r="T69" s="260">
        <f t="shared" si="19"/>
        <v>1.45</v>
      </c>
      <c r="U69" s="260">
        <f t="shared" si="19"/>
        <v>1.7</v>
      </c>
      <c r="V69" s="260">
        <f t="shared" si="19"/>
        <v>1.7</v>
      </c>
      <c r="W69" s="260">
        <f t="shared" si="19"/>
        <v>1.7</v>
      </c>
      <c r="X69" s="254" t="str">
        <f t="shared" si="19"/>
        <v/>
      </c>
      <c r="Y69" s="254" t="str">
        <f t="shared" si="19"/>
        <v/>
      </c>
      <c r="Z69" s="254" t="str">
        <f t="shared" si="19"/>
        <v/>
      </c>
      <c r="AA69" s="254" t="str">
        <f t="shared" si="19"/>
        <v/>
      </c>
      <c r="AB69" s="254" t="str">
        <f t="shared" si="19"/>
        <v/>
      </c>
      <c r="AC69" s="254" t="str">
        <f t="shared" si="19"/>
        <v/>
      </c>
      <c r="AD69" s="254" t="str">
        <f t="shared" si="19"/>
        <v/>
      </c>
      <c r="AE69" s="196">
        <f t="shared" si="19"/>
        <v>1</v>
      </c>
      <c r="AF69" s="196">
        <f t="shared" si="19"/>
        <v>1</v>
      </c>
      <c r="AG69" s="196">
        <f t="shared" si="19"/>
        <v>1</v>
      </c>
      <c r="AH69" s="254" t="str">
        <f t="shared" si="19"/>
        <v/>
      </c>
      <c r="AI69" s="254" t="str">
        <f t="shared" si="19"/>
        <v/>
      </c>
      <c r="AJ69" s="254" t="str">
        <f t="shared" si="19"/>
        <v/>
      </c>
      <c r="AK69" s="254" t="str">
        <f t="shared" si="19"/>
        <v/>
      </c>
      <c r="AL69" s="254" t="str">
        <f t="shared" si="19"/>
        <v/>
      </c>
      <c r="AM69" s="254" t="str">
        <f t="shared" si="19"/>
        <v/>
      </c>
      <c r="AN69" s="254">
        <f t="shared" si="19"/>
        <v>1.1000000000000001</v>
      </c>
      <c r="AO69" s="254" t="str">
        <f t="shared" si="19"/>
        <v/>
      </c>
      <c r="AP69" s="254"/>
      <c r="AQ69" s="254" t="str">
        <f t="shared" si="19"/>
        <v/>
      </c>
      <c r="AR69" s="205"/>
      <c r="AS69" s="205"/>
      <c r="AT69" s="205"/>
    </row>
    <row r="70" spans="1:46" s="173" customFormat="1" x14ac:dyDescent="0.2">
      <c r="A70" s="201" t="s">
        <v>634</v>
      </c>
      <c r="B70" s="201" t="s">
        <v>690</v>
      </c>
      <c r="C70" s="201" t="s">
        <v>641</v>
      </c>
      <c r="D70" s="201" t="s">
        <v>672</v>
      </c>
      <c r="E70" s="190" t="str">
        <f t="shared" si="16"/>
        <v>GHP – adsorption heat pump brine to water + Solar thermal collectors</v>
      </c>
      <c r="F70" s="254" t="str">
        <f t="shared" si="16"/>
        <v>RSDGAS, RSDLPG, RSDBGS</v>
      </c>
      <c r="G70" s="254" t="str">
        <f t="shared" si="16"/>
        <v>RSDAHT</v>
      </c>
      <c r="H70" s="201" t="s">
        <v>825</v>
      </c>
      <c r="I70" s="205"/>
      <c r="J70" s="205"/>
      <c r="K70" s="254">
        <f t="shared" si="19"/>
        <v>20</v>
      </c>
      <c r="L70" s="255">
        <f t="shared" si="19"/>
        <v>19496</v>
      </c>
      <c r="M70" s="255">
        <f t="shared" si="19"/>
        <v>19496</v>
      </c>
      <c r="N70" s="255">
        <f t="shared" si="19"/>
        <v>19496</v>
      </c>
      <c r="O70" s="255">
        <f t="shared" si="19"/>
        <v>19496</v>
      </c>
      <c r="P70" s="255">
        <f t="shared" si="19"/>
        <v>19496</v>
      </c>
      <c r="Q70" s="255">
        <f t="shared" si="19"/>
        <v>272</v>
      </c>
      <c r="R70" s="254" t="str">
        <f t="shared" si="19"/>
        <v/>
      </c>
      <c r="S70" s="260">
        <f t="shared" si="19"/>
        <v>1.1200000000000001</v>
      </c>
      <c r="T70" s="260">
        <f t="shared" si="19"/>
        <v>1.1200000000000001</v>
      </c>
      <c r="U70" s="260">
        <f t="shared" si="19"/>
        <v>1.1200000000000001</v>
      </c>
      <c r="V70" s="260">
        <f t="shared" si="19"/>
        <v>1.1200000000000001</v>
      </c>
      <c r="W70" s="260">
        <f t="shared" si="19"/>
        <v>1.1200000000000001</v>
      </c>
      <c r="X70" s="254" t="str">
        <f t="shared" si="19"/>
        <v/>
      </c>
      <c r="Y70" s="254" t="str">
        <f t="shared" si="19"/>
        <v/>
      </c>
      <c r="Z70" s="254" t="str">
        <f t="shared" si="19"/>
        <v/>
      </c>
      <c r="AA70" s="254" t="str">
        <f t="shared" si="19"/>
        <v/>
      </c>
      <c r="AB70" s="254" t="str">
        <f t="shared" si="19"/>
        <v/>
      </c>
      <c r="AC70" s="254" t="str">
        <f t="shared" si="19"/>
        <v/>
      </c>
      <c r="AD70" s="254" t="str">
        <f t="shared" si="19"/>
        <v/>
      </c>
      <c r="AE70" s="196">
        <f t="shared" si="19"/>
        <v>1</v>
      </c>
      <c r="AF70" s="196">
        <f t="shared" si="19"/>
        <v>1</v>
      </c>
      <c r="AG70" s="196" t="str">
        <f t="shared" si="19"/>
        <v/>
      </c>
      <c r="AH70" s="254" t="str">
        <f t="shared" si="19"/>
        <v/>
      </c>
      <c r="AI70" s="254" t="str">
        <f t="shared" si="19"/>
        <v/>
      </c>
      <c r="AJ70" s="254" t="str">
        <f t="shared" si="19"/>
        <v/>
      </c>
      <c r="AK70" s="254" t="str">
        <f t="shared" si="19"/>
        <v/>
      </c>
      <c r="AL70" s="254" t="str">
        <f t="shared" si="19"/>
        <v/>
      </c>
      <c r="AM70" s="254" t="str">
        <f t="shared" si="19"/>
        <v/>
      </c>
      <c r="AN70" s="254" t="str">
        <f t="shared" si="19"/>
        <v/>
      </c>
      <c r="AO70" s="254" t="str">
        <f t="shared" si="19"/>
        <v/>
      </c>
      <c r="AP70" s="254"/>
      <c r="AQ70" s="254" t="str">
        <f t="shared" si="19"/>
        <v/>
      </c>
      <c r="AR70" s="205"/>
      <c r="AS70" s="205"/>
      <c r="AT70" s="205"/>
    </row>
    <row r="71" spans="1:46" s="173" customFormat="1" x14ac:dyDescent="0.2">
      <c r="A71" s="201" t="s">
        <v>634</v>
      </c>
      <c r="B71" s="201" t="s">
        <v>691</v>
      </c>
      <c r="C71" s="201" t="s">
        <v>642</v>
      </c>
      <c r="D71" s="201" t="s">
        <v>672</v>
      </c>
      <c r="E71" s="190" t="str">
        <f t="shared" si="16"/>
        <v>GHP – adsorption heat pump brine to water + Solar thermal collectors + add costs</v>
      </c>
      <c r="F71" s="254" t="str">
        <f t="shared" si="16"/>
        <v>RSDGAS, RSDLPG, RSDBGS</v>
      </c>
      <c r="G71" s="254" t="str">
        <f t="shared" si="16"/>
        <v>RSDAHT</v>
      </c>
      <c r="H71" s="205" t="s">
        <v>828</v>
      </c>
      <c r="I71" s="205"/>
      <c r="J71" s="205"/>
      <c r="K71" s="254">
        <f t="shared" si="19"/>
        <v>20</v>
      </c>
      <c r="L71" s="255">
        <f t="shared" si="19"/>
        <v>21445.600000000002</v>
      </c>
      <c r="M71" s="255">
        <f t="shared" si="19"/>
        <v>21445.600000000002</v>
      </c>
      <c r="N71" s="255">
        <f t="shared" si="19"/>
        <v>21445.600000000002</v>
      </c>
      <c r="O71" s="255">
        <f t="shared" si="19"/>
        <v>21445.600000000002</v>
      </c>
      <c r="P71" s="255">
        <f t="shared" si="19"/>
        <v>21445.600000000002</v>
      </c>
      <c r="Q71" s="255">
        <f t="shared" si="19"/>
        <v>299.20000000000005</v>
      </c>
      <c r="R71" s="254" t="str">
        <f t="shared" si="19"/>
        <v/>
      </c>
      <c r="S71" s="260">
        <f t="shared" si="19"/>
        <v>1.1200000000000001</v>
      </c>
      <c r="T71" s="260">
        <f t="shared" si="19"/>
        <v>1.1200000000000001</v>
      </c>
      <c r="U71" s="260">
        <f t="shared" si="19"/>
        <v>1.1200000000000001</v>
      </c>
      <c r="V71" s="260">
        <f t="shared" si="19"/>
        <v>1.1200000000000001</v>
      </c>
      <c r="W71" s="260">
        <f t="shared" si="19"/>
        <v>1.1200000000000001</v>
      </c>
      <c r="X71" s="254" t="str">
        <f t="shared" si="19"/>
        <v/>
      </c>
      <c r="Y71" s="254" t="str">
        <f t="shared" si="19"/>
        <v/>
      </c>
      <c r="Z71" s="254" t="str">
        <f t="shared" si="19"/>
        <v/>
      </c>
      <c r="AA71" s="254" t="str">
        <f t="shared" si="19"/>
        <v/>
      </c>
      <c r="AB71" s="254" t="str">
        <f t="shared" si="19"/>
        <v/>
      </c>
      <c r="AC71" s="254" t="str">
        <f t="shared" si="19"/>
        <v/>
      </c>
      <c r="AD71" s="254" t="str">
        <f t="shared" si="19"/>
        <v/>
      </c>
      <c r="AE71" s="196">
        <f t="shared" si="19"/>
        <v>1</v>
      </c>
      <c r="AF71" s="196">
        <f t="shared" si="19"/>
        <v>1</v>
      </c>
      <c r="AG71" s="196">
        <f t="shared" si="19"/>
        <v>1</v>
      </c>
      <c r="AH71" s="254" t="str">
        <f t="shared" si="19"/>
        <v/>
      </c>
      <c r="AI71" s="254" t="str">
        <f t="shared" si="19"/>
        <v/>
      </c>
      <c r="AJ71" s="254" t="str">
        <f t="shared" si="19"/>
        <v/>
      </c>
      <c r="AK71" s="254" t="str">
        <f t="shared" si="19"/>
        <v/>
      </c>
      <c r="AL71" s="254" t="str">
        <f t="shared" si="19"/>
        <v/>
      </c>
      <c r="AM71" s="254" t="str">
        <f t="shared" si="19"/>
        <v/>
      </c>
      <c r="AN71" s="254">
        <f t="shared" si="19"/>
        <v>1.1000000000000001</v>
      </c>
      <c r="AO71" s="254" t="str">
        <f t="shared" si="19"/>
        <v/>
      </c>
      <c r="AP71" s="254"/>
      <c r="AQ71" s="254" t="str">
        <f t="shared" si="19"/>
        <v/>
      </c>
      <c r="AR71" s="205"/>
      <c r="AS71" s="205"/>
      <c r="AT71" s="205"/>
    </row>
    <row r="72" spans="1:46" s="173" customFormat="1" x14ac:dyDescent="0.2">
      <c r="A72" s="201" t="s">
        <v>634</v>
      </c>
      <c r="B72" s="201" t="s">
        <v>692</v>
      </c>
      <c r="C72" s="201" t="s">
        <v>644</v>
      </c>
      <c r="D72" s="201" t="s">
        <v>672</v>
      </c>
      <c r="E72" s="190" t="str">
        <f t="shared" si="16"/>
        <v>GHP – gas engine driven heat pump air/brine to water</v>
      </c>
      <c r="F72" s="254" t="str">
        <f t="shared" si="16"/>
        <v>RSDGAS, RSDLPG, RSDBGS</v>
      </c>
      <c r="G72" s="254" t="str">
        <f t="shared" si="16"/>
        <v>RSDAHT</v>
      </c>
      <c r="H72" s="201" t="s">
        <v>825</v>
      </c>
      <c r="I72" s="205"/>
      <c r="J72" s="205"/>
      <c r="K72" s="254">
        <f t="shared" si="19"/>
        <v>20</v>
      </c>
      <c r="L72" s="255">
        <f t="shared" si="19"/>
        <v>47500</v>
      </c>
      <c r="M72" s="255">
        <f t="shared" si="19"/>
        <v>47500</v>
      </c>
      <c r="N72" s="255">
        <f t="shared" si="19"/>
        <v>47500</v>
      </c>
      <c r="O72" s="255">
        <f t="shared" si="19"/>
        <v>47500</v>
      </c>
      <c r="P72" s="255">
        <f t="shared" si="19"/>
        <v>47500</v>
      </c>
      <c r="Q72" s="255">
        <f t="shared" si="19"/>
        <v>135</v>
      </c>
      <c r="R72" s="254" t="str">
        <f t="shared" si="19"/>
        <v/>
      </c>
      <c r="S72" s="260">
        <f t="shared" si="19"/>
        <v>1.5</v>
      </c>
      <c r="T72" s="260">
        <f t="shared" si="19"/>
        <v>1.55</v>
      </c>
      <c r="U72" s="260">
        <f t="shared" si="19"/>
        <v>1.55</v>
      </c>
      <c r="V72" s="260">
        <f t="shared" si="19"/>
        <v>1.6</v>
      </c>
      <c r="W72" s="260">
        <f t="shared" si="19"/>
        <v>1.6</v>
      </c>
      <c r="X72" s="254" t="str">
        <f t="shared" si="19"/>
        <v/>
      </c>
      <c r="Y72" s="254" t="str">
        <f t="shared" si="19"/>
        <v/>
      </c>
      <c r="Z72" s="254" t="str">
        <f t="shared" si="19"/>
        <v/>
      </c>
      <c r="AA72" s="254" t="str">
        <f t="shared" si="19"/>
        <v/>
      </c>
      <c r="AB72" s="254" t="str">
        <f t="shared" si="19"/>
        <v/>
      </c>
      <c r="AC72" s="254" t="str">
        <f t="shared" si="19"/>
        <v/>
      </c>
      <c r="AD72" s="254" t="str">
        <f t="shared" si="19"/>
        <v/>
      </c>
      <c r="AE72" s="196">
        <f t="shared" si="19"/>
        <v>1</v>
      </c>
      <c r="AF72" s="196">
        <f t="shared" si="19"/>
        <v>1</v>
      </c>
      <c r="AG72" s="196" t="str">
        <f t="shared" si="19"/>
        <v/>
      </c>
      <c r="AH72" s="254" t="str">
        <f t="shared" si="19"/>
        <v/>
      </c>
      <c r="AI72" s="254" t="str">
        <f t="shared" si="19"/>
        <v/>
      </c>
      <c r="AJ72" s="254" t="str">
        <f t="shared" si="19"/>
        <v/>
      </c>
      <c r="AK72" s="254" t="str">
        <f t="shared" si="19"/>
        <v/>
      </c>
      <c r="AL72" s="254" t="str">
        <f t="shared" si="19"/>
        <v/>
      </c>
      <c r="AM72" s="254" t="str">
        <f t="shared" si="19"/>
        <v/>
      </c>
      <c r="AN72" s="254" t="str">
        <f t="shared" si="19"/>
        <v/>
      </c>
      <c r="AO72" s="254" t="str">
        <f t="shared" si="19"/>
        <v/>
      </c>
      <c r="AP72" s="254"/>
      <c r="AQ72" s="254" t="str">
        <f t="shared" si="19"/>
        <v>Data missing. NE data used</v>
      </c>
      <c r="AR72" s="205"/>
      <c r="AS72" s="205"/>
      <c r="AT72" s="205"/>
    </row>
    <row r="73" spans="1:46" s="175" customFormat="1" x14ac:dyDescent="0.2">
      <c r="A73" s="206" t="s">
        <v>634</v>
      </c>
      <c r="B73" s="206" t="s">
        <v>693</v>
      </c>
      <c r="C73" s="206" t="s">
        <v>647</v>
      </c>
      <c r="D73" s="206" t="s">
        <v>672</v>
      </c>
      <c r="E73" s="191" t="str">
        <f t="shared" si="16"/>
        <v>GHP – gas engine driven heat pump air/brine to water + add costs</v>
      </c>
      <c r="F73" s="257" t="str">
        <f t="shared" si="16"/>
        <v>RSDGAS, RSDLPG, RSDBGS</v>
      </c>
      <c r="G73" s="257" t="str">
        <f t="shared" si="16"/>
        <v>RSDAHT</v>
      </c>
      <c r="H73" s="206" t="s">
        <v>828</v>
      </c>
      <c r="I73" s="206"/>
      <c r="J73" s="206"/>
      <c r="K73" s="257">
        <f t="shared" si="19"/>
        <v>20</v>
      </c>
      <c r="L73" s="258">
        <f t="shared" si="19"/>
        <v>52250.000000000007</v>
      </c>
      <c r="M73" s="258">
        <f t="shared" si="19"/>
        <v>52250.000000000007</v>
      </c>
      <c r="N73" s="258">
        <f t="shared" si="19"/>
        <v>52250.000000000007</v>
      </c>
      <c r="O73" s="258">
        <f t="shared" si="19"/>
        <v>52250.000000000007</v>
      </c>
      <c r="P73" s="258">
        <f t="shared" si="19"/>
        <v>52250.000000000007</v>
      </c>
      <c r="Q73" s="258">
        <f t="shared" si="19"/>
        <v>148.5</v>
      </c>
      <c r="R73" s="257" t="str">
        <f t="shared" si="19"/>
        <v/>
      </c>
      <c r="S73" s="261">
        <f t="shared" si="19"/>
        <v>1.5</v>
      </c>
      <c r="T73" s="261">
        <f t="shared" si="19"/>
        <v>1.55</v>
      </c>
      <c r="U73" s="261">
        <f t="shared" si="19"/>
        <v>1.55</v>
      </c>
      <c r="V73" s="261">
        <f t="shared" si="19"/>
        <v>1.6</v>
      </c>
      <c r="W73" s="261">
        <f t="shared" si="19"/>
        <v>1.6</v>
      </c>
      <c r="X73" s="257" t="str">
        <f t="shared" si="19"/>
        <v/>
      </c>
      <c r="Y73" s="257" t="str">
        <f t="shared" si="19"/>
        <v/>
      </c>
      <c r="Z73" s="257" t="str">
        <f t="shared" si="19"/>
        <v/>
      </c>
      <c r="AA73" s="257" t="str">
        <f t="shared" si="19"/>
        <v/>
      </c>
      <c r="AB73" s="257" t="str">
        <f t="shared" si="19"/>
        <v/>
      </c>
      <c r="AC73" s="257" t="str">
        <f t="shared" si="19"/>
        <v/>
      </c>
      <c r="AD73" s="257" t="str">
        <f t="shared" si="19"/>
        <v/>
      </c>
      <c r="AE73" s="197">
        <f t="shared" si="19"/>
        <v>1</v>
      </c>
      <c r="AF73" s="197">
        <f t="shared" si="19"/>
        <v>1</v>
      </c>
      <c r="AG73" s="197">
        <f t="shared" si="19"/>
        <v>1</v>
      </c>
      <c r="AH73" s="257" t="str">
        <f t="shared" si="19"/>
        <v/>
      </c>
      <c r="AI73" s="257" t="str">
        <f t="shared" si="19"/>
        <v/>
      </c>
      <c r="AJ73" s="257" t="str">
        <f t="shared" si="19"/>
        <v/>
      </c>
      <c r="AK73" s="257" t="str">
        <f t="shared" si="19"/>
        <v/>
      </c>
      <c r="AL73" s="257" t="str">
        <f t="shared" si="19"/>
        <v/>
      </c>
      <c r="AM73" s="257" t="str">
        <f t="shared" si="19"/>
        <v/>
      </c>
      <c r="AN73" s="257">
        <f t="shared" si="19"/>
        <v>1.1000000000000001</v>
      </c>
      <c r="AO73" s="257" t="str">
        <f t="shared" si="19"/>
        <v/>
      </c>
      <c r="AP73" s="257"/>
      <c r="AQ73" s="257" t="str">
        <f t="shared" si="19"/>
        <v/>
      </c>
      <c r="AR73" s="206"/>
      <c r="AS73" s="206"/>
      <c r="AT73" s="206"/>
    </row>
    <row r="74" spans="1:46" s="173" customFormat="1" x14ac:dyDescent="0.2">
      <c r="A74" s="207" t="s">
        <v>388</v>
      </c>
      <c r="B74" s="201" t="s">
        <v>694</v>
      </c>
      <c r="C74" s="205" t="s">
        <v>649</v>
      </c>
      <c r="D74" s="205" t="s">
        <v>672</v>
      </c>
      <c r="E74" s="190" t="str">
        <f t="shared" si="16"/>
        <v>CHP engines – micro turbine</v>
      </c>
      <c r="F74" s="254" t="str">
        <f t="shared" si="16"/>
        <v>RSDGAS, RSDLPG, RSDBGS</v>
      </c>
      <c r="G74" s="254" t="str">
        <f t="shared" si="16"/>
        <v/>
      </c>
      <c r="H74" s="201" t="s">
        <v>826</v>
      </c>
      <c r="I74" s="205"/>
      <c r="J74" s="205"/>
      <c r="K74" s="254">
        <f t="shared" si="19"/>
        <v>10</v>
      </c>
      <c r="L74" s="255">
        <f t="shared" si="19"/>
        <v>103980</v>
      </c>
      <c r="M74" s="255">
        <f t="shared" si="19"/>
        <v>103980</v>
      </c>
      <c r="N74" s="255">
        <f t="shared" si="19"/>
        <v>77985</v>
      </c>
      <c r="O74" s="255">
        <f t="shared" si="19"/>
        <v>77985</v>
      </c>
      <c r="P74" s="255">
        <f t="shared" si="19"/>
        <v>62388</v>
      </c>
      <c r="Q74" s="255" t="str">
        <f t="shared" si="19"/>
        <v/>
      </c>
      <c r="R74" s="254" t="str">
        <f t="shared" si="19"/>
        <v/>
      </c>
      <c r="S74" s="256">
        <f t="shared" si="19"/>
        <v>0.26</v>
      </c>
      <c r="T74" s="256">
        <f t="shared" si="19"/>
        <v>0.26</v>
      </c>
      <c r="U74" s="256">
        <f t="shared" si="19"/>
        <v>0.26</v>
      </c>
      <c r="V74" s="256">
        <f t="shared" si="19"/>
        <v>0.26</v>
      </c>
      <c r="W74" s="256">
        <f t="shared" si="19"/>
        <v>0.26</v>
      </c>
      <c r="X74" s="254" t="str">
        <f t="shared" si="19"/>
        <v/>
      </c>
      <c r="Y74" s="254" t="str">
        <f t="shared" si="19"/>
        <v/>
      </c>
      <c r="Z74" s="254" t="str">
        <f t="shared" si="19"/>
        <v/>
      </c>
      <c r="AA74" s="254" t="str">
        <f t="shared" si="19"/>
        <v/>
      </c>
      <c r="AB74" s="254" t="str">
        <f t="shared" si="19"/>
        <v/>
      </c>
      <c r="AC74" s="254" t="str">
        <f t="shared" si="19"/>
        <v/>
      </c>
      <c r="AD74" s="254" t="str">
        <f t="shared" si="19"/>
        <v/>
      </c>
      <c r="AE74" s="196">
        <f t="shared" si="19"/>
        <v>0.6</v>
      </c>
      <c r="AF74" s="196" t="str">
        <f t="shared" si="19"/>
        <v/>
      </c>
      <c r="AG74" s="196" t="str">
        <f t="shared" si="19"/>
        <v/>
      </c>
      <c r="AH74" s="254">
        <f t="shared" si="19"/>
        <v>2.4615384615384617</v>
      </c>
      <c r="AI74" s="254">
        <f t="shared" si="19"/>
        <v>2.4615384615384617</v>
      </c>
      <c r="AJ74" s="254">
        <f t="shared" si="19"/>
        <v>2.4615384615384617</v>
      </c>
      <c r="AK74" s="254">
        <f t="shared" si="19"/>
        <v>0.9</v>
      </c>
      <c r="AL74" s="254">
        <f t="shared" si="19"/>
        <v>0.9</v>
      </c>
      <c r="AM74" s="254">
        <f t="shared" si="19"/>
        <v>0.9</v>
      </c>
      <c r="AN74" s="254" t="str">
        <f t="shared" si="19"/>
        <v/>
      </c>
      <c r="AO74" s="254" t="str">
        <f t="shared" si="19"/>
        <v>n/a</v>
      </c>
      <c r="AP74" s="254"/>
      <c r="AQ74" s="254" t="str">
        <f t="shared" si="19"/>
        <v/>
      </c>
      <c r="AR74" s="205"/>
      <c r="AS74" s="205"/>
      <c r="AT74" s="205"/>
    </row>
    <row r="75" spans="1:46" s="173" customFormat="1" x14ac:dyDescent="0.2">
      <c r="A75" s="207" t="s">
        <v>388</v>
      </c>
      <c r="B75" s="201" t="s">
        <v>695</v>
      </c>
      <c r="C75" s="205" t="s">
        <v>696</v>
      </c>
      <c r="D75" s="205" t="s">
        <v>672</v>
      </c>
      <c r="E75" s="190" t="str">
        <f t="shared" si="16"/>
        <v>CHP engines – micro turbine</v>
      </c>
      <c r="F75" s="254" t="str">
        <f t="shared" si="16"/>
        <v>RSDOIL, RSDBDL</v>
      </c>
      <c r="G75" s="254" t="str">
        <f t="shared" si="16"/>
        <v/>
      </c>
      <c r="H75" s="201" t="s">
        <v>826</v>
      </c>
      <c r="I75" s="205"/>
      <c r="J75" s="205"/>
      <c r="K75" s="254">
        <f t="shared" si="19"/>
        <v>10</v>
      </c>
      <c r="L75" s="255">
        <f t="shared" si="19"/>
        <v>103980</v>
      </c>
      <c r="M75" s="255">
        <f t="shared" si="19"/>
        <v>103980</v>
      </c>
      <c r="N75" s="255">
        <f t="shared" si="19"/>
        <v>77985</v>
      </c>
      <c r="O75" s="255">
        <f t="shared" si="19"/>
        <v>77985</v>
      </c>
      <c r="P75" s="255">
        <f t="shared" si="19"/>
        <v>62388</v>
      </c>
      <c r="Q75" s="255" t="str">
        <f t="shared" si="19"/>
        <v/>
      </c>
      <c r="R75" s="254" t="str">
        <f t="shared" si="19"/>
        <v/>
      </c>
      <c r="S75" s="256">
        <f t="shared" si="19"/>
        <v>0.26</v>
      </c>
      <c r="T75" s="256">
        <f t="shared" si="19"/>
        <v>0.26</v>
      </c>
      <c r="U75" s="256">
        <f t="shared" si="19"/>
        <v>0.26</v>
      </c>
      <c r="V75" s="256">
        <f t="shared" si="19"/>
        <v>0.26</v>
      </c>
      <c r="W75" s="256">
        <f t="shared" si="19"/>
        <v>0.26</v>
      </c>
      <c r="X75" s="254" t="str">
        <f t="shared" si="19"/>
        <v/>
      </c>
      <c r="Y75" s="254" t="str">
        <f t="shared" si="19"/>
        <v/>
      </c>
      <c r="Z75" s="254" t="str">
        <f t="shared" si="19"/>
        <v/>
      </c>
      <c r="AA75" s="254" t="str">
        <f t="shared" si="19"/>
        <v/>
      </c>
      <c r="AB75" s="254" t="str">
        <f t="shared" si="19"/>
        <v/>
      </c>
      <c r="AC75" s="254" t="str">
        <f t="shared" si="19"/>
        <v/>
      </c>
      <c r="AD75" s="254" t="str">
        <f t="shared" si="19"/>
        <v/>
      </c>
      <c r="AE75" s="196">
        <f t="shared" si="19"/>
        <v>0.6</v>
      </c>
      <c r="AF75" s="196" t="str">
        <f t="shared" si="19"/>
        <v/>
      </c>
      <c r="AG75" s="196" t="str">
        <f t="shared" si="19"/>
        <v/>
      </c>
      <c r="AH75" s="254">
        <f t="shared" si="19"/>
        <v>2.4615384615384617</v>
      </c>
      <c r="AI75" s="254">
        <f t="shared" si="19"/>
        <v>2.4615384615384617</v>
      </c>
      <c r="AJ75" s="254">
        <f t="shared" si="19"/>
        <v>2.4615384615384617</v>
      </c>
      <c r="AK75" s="254">
        <f t="shared" si="19"/>
        <v>0.9</v>
      </c>
      <c r="AL75" s="254">
        <f t="shared" si="19"/>
        <v>0.9</v>
      </c>
      <c r="AM75" s="254">
        <f t="shared" si="19"/>
        <v>0.9</v>
      </c>
      <c r="AN75" s="254" t="str">
        <f t="shared" si="19"/>
        <v/>
      </c>
      <c r="AO75" s="254" t="str">
        <f t="shared" si="19"/>
        <v/>
      </c>
      <c r="AP75" s="254"/>
      <c r="AQ75" s="254" t="str">
        <f t="shared" si="19"/>
        <v/>
      </c>
      <c r="AR75" s="205"/>
      <c r="AS75" s="205"/>
      <c r="AT75" s="205"/>
    </row>
    <row r="76" spans="1:46" s="173" customFormat="1" x14ac:dyDescent="0.2">
      <c r="A76" s="207" t="s">
        <v>388</v>
      </c>
      <c r="B76" s="201" t="s">
        <v>697</v>
      </c>
      <c r="C76" s="201" t="s">
        <v>654</v>
      </c>
      <c r="D76" s="201" t="s">
        <v>672</v>
      </c>
      <c r="E76" s="190" t="str">
        <f t="shared" si="16"/>
        <v>CHP engines – internal combustion engine, natural gas</v>
      </c>
      <c r="F76" s="254" t="str">
        <f t="shared" si="16"/>
        <v>RSDGAS, RSDLPG, RSDBGS</v>
      </c>
      <c r="G76" s="254" t="str">
        <f t="shared" si="16"/>
        <v/>
      </c>
      <c r="H76" s="201" t="s">
        <v>826</v>
      </c>
      <c r="I76" s="205"/>
      <c r="J76" s="205"/>
      <c r="K76" s="254">
        <f t="shared" si="19"/>
        <v>10</v>
      </c>
      <c r="L76" s="255">
        <f t="shared" si="19"/>
        <v>23200</v>
      </c>
      <c r="M76" s="255">
        <f t="shared" si="19"/>
        <v>19070</v>
      </c>
      <c r="N76" s="255">
        <f t="shared" si="19"/>
        <v>16385.5</v>
      </c>
      <c r="O76" s="255">
        <f t="shared" si="19"/>
        <v>16385.5</v>
      </c>
      <c r="P76" s="255">
        <f t="shared" si="19"/>
        <v>16385.5</v>
      </c>
      <c r="Q76" s="255">
        <f t="shared" si="19"/>
        <v>310</v>
      </c>
      <c r="R76" s="254" t="str">
        <f t="shared" si="19"/>
        <v/>
      </c>
      <c r="S76" s="256">
        <f t="shared" si="19"/>
        <v>0.2</v>
      </c>
      <c r="T76" s="256">
        <f t="shared" si="19"/>
        <v>0.22</v>
      </c>
      <c r="U76" s="256">
        <f t="shared" si="19"/>
        <v>0.25</v>
      </c>
      <c r="V76" s="256" t="str">
        <f t="shared" si="19"/>
        <v/>
      </c>
      <c r="W76" s="256" t="str">
        <f t="shared" si="19"/>
        <v/>
      </c>
      <c r="X76" s="254" t="str">
        <f t="shared" si="19"/>
        <v/>
      </c>
      <c r="Y76" s="254" t="str">
        <f t="shared" si="19"/>
        <v/>
      </c>
      <c r="Z76" s="254" t="str">
        <f t="shared" si="19"/>
        <v/>
      </c>
      <c r="AA76" s="254" t="str">
        <f t="shared" si="19"/>
        <v/>
      </c>
      <c r="AB76" s="254" t="str">
        <f t="shared" si="19"/>
        <v/>
      </c>
      <c r="AC76" s="254" t="str">
        <f t="shared" si="19"/>
        <v/>
      </c>
      <c r="AD76" s="254" t="str">
        <f t="shared" si="19"/>
        <v/>
      </c>
      <c r="AE76" s="196">
        <f t="shared" si="19"/>
        <v>0.6</v>
      </c>
      <c r="AF76" s="196" t="str">
        <f t="shared" si="19"/>
        <v/>
      </c>
      <c r="AG76" s="196" t="str">
        <f t="shared" si="19"/>
        <v/>
      </c>
      <c r="AH76" s="254">
        <f t="shared" si="19"/>
        <v>2.25</v>
      </c>
      <c r="AI76" s="254">
        <f t="shared" si="19"/>
        <v>2.1818181818181817</v>
      </c>
      <c r="AJ76" s="254">
        <f t="shared" si="19"/>
        <v>1.9</v>
      </c>
      <c r="AK76" s="254">
        <f t="shared" si="19"/>
        <v>0.65</v>
      </c>
      <c r="AL76" s="254">
        <f t="shared" si="19"/>
        <v>0.7</v>
      </c>
      <c r="AM76" s="254">
        <f t="shared" si="19"/>
        <v>0.72499999999999998</v>
      </c>
      <c r="AN76" s="254" t="str">
        <f t="shared" si="19"/>
        <v/>
      </c>
      <c r="AO76" s="254" t="str">
        <f t="shared" si="19"/>
        <v>Y</v>
      </c>
      <c r="AP76" s="254"/>
      <c r="AQ76" s="254" t="str">
        <f t="shared" ref="AQ76" si="20">IF(AQ35="","",AQ35)</f>
        <v>The mechanical (or electrical) efficiency of a gas engine is around 20 % as annual average for micro-CHP units and 28-36 % for mini CHP units. The combined efficiency (electricity and heat) is on the level of 80-90 %.</v>
      </c>
      <c r="AR76" s="205"/>
      <c r="AS76" s="205"/>
      <c r="AT76" s="205"/>
    </row>
    <row r="77" spans="1:46" s="173" customFormat="1" x14ac:dyDescent="0.2">
      <c r="A77" s="207" t="s">
        <v>388</v>
      </c>
      <c r="B77" s="201" t="s">
        <v>698</v>
      </c>
      <c r="C77" s="201" t="s">
        <v>657</v>
      </c>
      <c r="D77" s="201" t="s">
        <v>672</v>
      </c>
      <c r="E77" s="190" t="str">
        <f t="shared" ref="E77:G82" si="21">IF(E36="","",E36)</f>
        <v>CHP engines – internal combustion engine, diesel</v>
      </c>
      <c r="F77" s="254" t="str">
        <f t="shared" si="21"/>
        <v>RSDOIL, RSDBDL</v>
      </c>
      <c r="G77" s="254" t="str">
        <f t="shared" si="21"/>
        <v/>
      </c>
      <c r="H77" s="201" t="s">
        <v>826</v>
      </c>
      <c r="I77" s="205"/>
      <c r="J77" s="205"/>
      <c r="K77" s="254">
        <f t="shared" ref="K77:AQ82" si="22">IF(K36="","",K36)</f>
        <v>10</v>
      </c>
      <c r="L77" s="255">
        <f t="shared" si="22"/>
        <v>24000</v>
      </c>
      <c r="M77" s="255">
        <f t="shared" si="22"/>
        <v>19710</v>
      </c>
      <c r="N77" s="255">
        <f t="shared" si="22"/>
        <v>16921.5</v>
      </c>
      <c r="O77" s="255">
        <f t="shared" si="22"/>
        <v>16921.5</v>
      </c>
      <c r="P77" s="255">
        <f t="shared" si="22"/>
        <v>16921.5</v>
      </c>
      <c r="Q77" s="255">
        <f t="shared" si="22"/>
        <v>310</v>
      </c>
      <c r="R77" s="254" t="str">
        <f t="shared" si="22"/>
        <v/>
      </c>
      <c r="S77" s="256">
        <f t="shared" si="22"/>
        <v>0.2</v>
      </c>
      <c r="T77" s="256">
        <f t="shared" si="22"/>
        <v>0.22</v>
      </c>
      <c r="U77" s="256">
        <f t="shared" si="22"/>
        <v>0.25</v>
      </c>
      <c r="V77" s="256" t="str">
        <f t="shared" si="22"/>
        <v/>
      </c>
      <c r="W77" s="256" t="str">
        <f t="shared" si="22"/>
        <v/>
      </c>
      <c r="X77" s="254" t="str">
        <f t="shared" si="22"/>
        <v/>
      </c>
      <c r="Y77" s="254" t="str">
        <f t="shared" si="22"/>
        <v/>
      </c>
      <c r="Z77" s="254" t="str">
        <f t="shared" si="22"/>
        <v/>
      </c>
      <c r="AA77" s="254" t="str">
        <f t="shared" si="22"/>
        <v/>
      </c>
      <c r="AB77" s="254" t="str">
        <f t="shared" si="22"/>
        <v/>
      </c>
      <c r="AC77" s="254" t="str">
        <f t="shared" si="22"/>
        <v/>
      </c>
      <c r="AD77" s="254" t="str">
        <f t="shared" si="22"/>
        <v/>
      </c>
      <c r="AE77" s="196">
        <f t="shared" si="22"/>
        <v>0.6</v>
      </c>
      <c r="AF77" s="196" t="str">
        <f t="shared" si="22"/>
        <v/>
      </c>
      <c r="AG77" s="196" t="str">
        <f t="shared" si="22"/>
        <v/>
      </c>
      <c r="AH77" s="254">
        <f t="shared" si="22"/>
        <v>2.25</v>
      </c>
      <c r="AI77" s="254">
        <f t="shared" si="22"/>
        <v>2.1818181818181817</v>
      </c>
      <c r="AJ77" s="254">
        <f t="shared" si="22"/>
        <v>1.9</v>
      </c>
      <c r="AK77" s="254">
        <f t="shared" si="22"/>
        <v>0.65</v>
      </c>
      <c r="AL77" s="254">
        <f t="shared" si="22"/>
        <v>0.7</v>
      </c>
      <c r="AM77" s="254">
        <f t="shared" si="22"/>
        <v>0.72499999999999998</v>
      </c>
      <c r="AN77" s="254" t="str">
        <f t="shared" si="22"/>
        <v/>
      </c>
      <c r="AO77" s="254" t="str">
        <f t="shared" si="22"/>
        <v>Y</v>
      </c>
      <c r="AP77" s="254"/>
      <c r="AQ77" s="254" t="str">
        <f t="shared" si="22"/>
        <v/>
      </c>
      <c r="AR77" s="205"/>
      <c r="AS77" s="205"/>
      <c r="AT77" s="205"/>
    </row>
    <row r="78" spans="1:46" s="173" customFormat="1" x14ac:dyDescent="0.2">
      <c r="A78" s="207" t="s">
        <v>388</v>
      </c>
      <c r="B78" s="201" t="s">
        <v>699</v>
      </c>
      <c r="C78" s="201" t="s">
        <v>659</v>
      </c>
      <c r="D78" s="201" t="s">
        <v>672</v>
      </c>
      <c r="E78" s="190" t="str">
        <f t="shared" si="21"/>
        <v>CHP engines – Stirling engine</v>
      </c>
      <c r="F78" s="254" t="str">
        <f t="shared" si="21"/>
        <v>RSDGAS, RSDLPG, RSDBGS</v>
      </c>
      <c r="G78" s="254" t="str">
        <f t="shared" si="21"/>
        <v/>
      </c>
      <c r="H78" s="201" t="s">
        <v>826</v>
      </c>
      <c r="I78" s="205"/>
      <c r="J78" s="205"/>
      <c r="K78" s="254">
        <f t="shared" si="22"/>
        <v>10</v>
      </c>
      <c r="L78" s="255">
        <f t="shared" si="22"/>
        <v>18500</v>
      </c>
      <c r="M78" s="255">
        <f t="shared" si="22"/>
        <v>16750</v>
      </c>
      <c r="N78" s="255">
        <f t="shared" si="22"/>
        <v>14125</v>
      </c>
      <c r="O78" s="255">
        <f t="shared" si="22"/>
        <v>14125</v>
      </c>
      <c r="P78" s="255">
        <f t="shared" si="22"/>
        <v>14125</v>
      </c>
      <c r="Q78" s="255">
        <f t="shared" si="22"/>
        <v>250</v>
      </c>
      <c r="R78" s="254" t="str">
        <f t="shared" si="22"/>
        <v/>
      </c>
      <c r="S78" s="256">
        <f t="shared" si="22"/>
        <v>0.12</v>
      </c>
      <c r="T78" s="256">
        <f t="shared" si="22"/>
        <v>0.14000000000000001</v>
      </c>
      <c r="U78" s="256">
        <f t="shared" si="22"/>
        <v>0.16</v>
      </c>
      <c r="V78" s="256" t="str">
        <f t="shared" si="22"/>
        <v/>
      </c>
      <c r="W78" s="256" t="str">
        <f t="shared" si="22"/>
        <v/>
      </c>
      <c r="X78" s="254" t="str">
        <f t="shared" si="22"/>
        <v/>
      </c>
      <c r="Y78" s="254" t="str">
        <f t="shared" si="22"/>
        <v/>
      </c>
      <c r="Z78" s="254" t="str">
        <f t="shared" si="22"/>
        <v/>
      </c>
      <c r="AA78" s="254" t="str">
        <f t="shared" si="22"/>
        <v/>
      </c>
      <c r="AB78" s="254" t="str">
        <f t="shared" si="22"/>
        <v/>
      </c>
      <c r="AC78" s="254" t="str">
        <f t="shared" si="22"/>
        <v/>
      </c>
      <c r="AD78" s="254" t="str">
        <f t="shared" si="22"/>
        <v/>
      </c>
      <c r="AE78" s="196">
        <f t="shared" si="22"/>
        <v>0.6</v>
      </c>
      <c r="AF78" s="196" t="str">
        <f t="shared" si="22"/>
        <v/>
      </c>
      <c r="AG78" s="196" t="str">
        <f t="shared" si="22"/>
        <v/>
      </c>
      <c r="AH78" s="254">
        <f t="shared" si="22"/>
        <v>5.4583333333333339</v>
      </c>
      <c r="AI78" s="254">
        <f t="shared" si="22"/>
        <v>4.7142857142857144</v>
      </c>
      <c r="AJ78" s="254">
        <f t="shared" si="22"/>
        <v>4.1562499999999991</v>
      </c>
      <c r="AK78" s="254">
        <f t="shared" si="22"/>
        <v>0.77500000000000002</v>
      </c>
      <c r="AL78" s="254">
        <f t="shared" si="22"/>
        <v>0.8</v>
      </c>
      <c r="AM78" s="254">
        <f t="shared" si="22"/>
        <v>0.82499999999999996</v>
      </c>
      <c r="AN78" s="254" t="str">
        <f t="shared" si="22"/>
        <v/>
      </c>
      <c r="AO78" s="254" t="str">
        <f t="shared" si="22"/>
        <v>Y</v>
      </c>
      <c r="AP78" s="254"/>
      <c r="AQ78" s="254" t="str">
        <f t="shared" si="22"/>
        <v>typically combined with a condensing natural gas boiler for peak loads</v>
      </c>
      <c r="AR78" s="205"/>
      <c r="AS78" s="205"/>
      <c r="AT78" s="205"/>
    </row>
    <row r="79" spans="1:46" s="173" customFormat="1" x14ac:dyDescent="0.2">
      <c r="A79" s="207" t="s">
        <v>388</v>
      </c>
      <c r="B79" s="201" t="s">
        <v>700</v>
      </c>
      <c r="C79" s="201" t="s">
        <v>662</v>
      </c>
      <c r="D79" s="201" t="s">
        <v>672</v>
      </c>
      <c r="E79" s="190" t="str">
        <f t="shared" si="21"/>
        <v>CHP fuel cells – natural gas fuel cell</v>
      </c>
      <c r="F79" s="254" t="str">
        <f t="shared" si="21"/>
        <v>RSDGAS</v>
      </c>
      <c r="G79" s="254" t="str">
        <f t="shared" si="21"/>
        <v/>
      </c>
      <c r="H79" s="201" t="s">
        <v>826</v>
      </c>
      <c r="I79" s="205"/>
      <c r="J79" s="205"/>
      <c r="K79" s="254">
        <f t="shared" si="22"/>
        <v>10</v>
      </c>
      <c r="L79" s="255">
        <f t="shared" si="22"/>
        <v>21491</v>
      </c>
      <c r="M79" s="255">
        <f t="shared" si="22"/>
        <v>21491</v>
      </c>
      <c r="N79" s="255">
        <f t="shared" si="22"/>
        <v>9091</v>
      </c>
      <c r="O79" s="255">
        <f t="shared" si="22"/>
        <v>9091</v>
      </c>
      <c r="P79" s="255">
        <f t="shared" si="22"/>
        <v>4131</v>
      </c>
      <c r="Q79" s="255">
        <f t="shared" si="22"/>
        <v>274</v>
      </c>
      <c r="R79" s="254" t="str">
        <f t="shared" si="22"/>
        <v/>
      </c>
      <c r="S79" s="256">
        <f t="shared" si="22"/>
        <v>0.375</v>
      </c>
      <c r="T79" s="256">
        <f t="shared" si="22"/>
        <v>0.45</v>
      </c>
      <c r="U79" s="256">
        <f t="shared" si="22"/>
        <v>0.47499999999999998</v>
      </c>
      <c r="V79" s="256" t="str">
        <f t="shared" si="22"/>
        <v/>
      </c>
      <c r="W79" s="256" t="str">
        <f t="shared" si="22"/>
        <v/>
      </c>
      <c r="X79" s="254" t="str">
        <f t="shared" si="22"/>
        <v/>
      </c>
      <c r="Y79" s="254" t="str">
        <f t="shared" si="22"/>
        <v/>
      </c>
      <c r="Z79" s="254" t="str">
        <f t="shared" si="22"/>
        <v/>
      </c>
      <c r="AA79" s="254" t="str">
        <f t="shared" si="22"/>
        <v/>
      </c>
      <c r="AB79" s="254" t="str">
        <f t="shared" si="22"/>
        <v/>
      </c>
      <c r="AC79" s="254" t="str">
        <f t="shared" si="22"/>
        <v/>
      </c>
      <c r="AD79" s="254" t="str">
        <f t="shared" si="22"/>
        <v/>
      </c>
      <c r="AE79" s="196">
        <f t="shared" si="22"/>
        <v>0.6</v>
      </c>
      <c r="AF79" s="196" t="str">
        <f t="shared" si="22"/>
        <v/>
      </c>
      <c r="AG79" s="196" t="str">
        <f t="shared" si="22"/>
        <v/>
      </c>
      <c r="AH79" s="254">
        <f t="shared" si="22"/>
        <v>0.46666666666666679</v>
      </c>
      <c r="AI79" s="254">
        <f t="shared" si="22"/>
        <v>0.16666666666666669</v>
      </c>
      <c r="AJ79" s="254">
        <f t="shared" si="22"/>
        <v>0.10526315789473695</v>
      </c>
      <c r="AK79" s="254">
        <f t="shared" si="22"/>
        <v>0.55000000000000004</v>
      </c>
      <c r="AL79" s="254">
        <f t="shared" si="22"/>
        <v>0.52500000000000002</v>
      </c>
      <c r="AM79" s="254">
        <f t="shared" si="22"/>
        <v>0.52500000000000002</v>
      </c>
      <c r="AN79" s="254" t="str">
        <f t="shared" si="22"/>
        <v/>
      </c>
      <c r="AO79" s="254" t="str">
        <f t="shared" si="22"/>
        <v>Y</v>
      </c>
      <c r="AP79" s="254"/>
      <c r="AQ79" s="254" t="str">
        <f t="shared" si="22"/>
        <v>Includes auxiliary boiler and storage (also for tap water). The micro CHP unit will cover approx. 50-70 % of the total heat demand (from NE)</v>
      </c>
      <c r="AR79" s="205"/>
      <c r="AS79" s="205"/>
      <c r="AT79" s="205"/>
    </row>
    <row r="80" spans="1:46" s="173" customFormat="1" x14ac:dyDescent="0.2">
      <c r="A80" s="209" t="s">
        <v>388</v>
      </c>
      <c r="B80" s="205" t="s">
        <v>701</v>
      </c>
      <c r="C80" s="205" t="s">
        <v>665</v>
      </c>
      <c r="D80" s="205" t="s">
        <v>672</v>
      </c>
      <c r="E80" s="190" t="str">
        <f t="shared" si="21"/>
        <v>CHP fuel cells – hydrogen fuel cell</v>
      </c>
      <c r="F80" s="254" t="str">
        <f t="shared" si="21"/>
        <v>RSDHH2</v>
      </c>
      <c r="G80" s="254" t="str">
        <f t="shared" si="21"/>
        <v/>
      </c>
      <c r="H80" s="201" t="s">
        <v>826</v>
      </c>
      <c r="I80" s="205"/>
      <c r="J80" s="205"/>
      <c r="K80" s="254">
        <f t="shared" si="22"/>
        <v>10</v>
      </c>
      <c r="L80" s="255">
        <f t="shared" si="22"/>
        <v>13000</v>
      </c>
      <c r="M80" s="255">
        <f t="shared" si="22"/>
        <v>6900</v>
      </c>
      <c r="N80" s="255">
        <f t="shared" si="22"/>
        <v>5100</v>
      </c>
      <c r="O80" s="255" t="str">
        <f t="shared" si="22"/>
        <v/>
      </c>
      <c r="P80" s="255" t="str">
        <f t="shared" si="22"/>
        <v/>
      </c>
      <c r="Q80" s="255">
        <f t="shared" si="22"/>
        <v>500</v>
      </c>
      <c r="R80" s="254" t="str">
        <f t="shared" si="22"/>
        <v/>
      </c>
      <c r="S80" s="256">
        <f t="shared" si="22"/>
        <v>0.47499999999999998</v>
      </c>
      <c r="T80" s="256">
        <f t="shared" si="22"/>
        <v>0.505</v>
      </c>
      <c r="U80" s="256">
        <f t="shared" si="22"/>
        <v>0.54500000000000004</v>
      </c>
      <c r="V80" s="256" t="str">
        <f t="shared" si="22"/>
        <v/>
      </c>
      <c r="W80" s="256" t="str">
        <f t="shared" si="22"/>
        <v/>
      </c>
      <c r="X80" s="254" t="str">
        <f t="shared" si="22"/>
        <v/>
      </c>
      <c r="Y80" s="254" t="str">
        <f t="shared" si="22"/>
        <v/>
      </c>
      <c r="Z80" s="254" t="str">
        <f t="shared" si="22"/>
        <v/>
      </c>
      <c r="AA80" s="254" t="str">
        <f t="shared" si="22"/>
        <v/>
      </c>
      <c r="AB80" s="254" t="str">
        <f t="shared" si="22"/>
        <v/>
      </c>
      <c r="AC80" s="254" t="str">
        <f t="shared" si="22"/>
        <v/>
      </c>
      <c r="AD80" s="254" t="str">
        <f t="shared" si="22"/>
        <v/>
      </c>
      <c r="AE80" s="196">
        <f t="shared" si="22"/>
        <v>0.6</v>
      </c>
      <c r="AF80" s="196" t="str">
        <f t="shared" si="22"/>
        <v/>
      </c>
      <c r="AG80" s="196" t="str">
        <f t="shared" si="22"/>
        <v/>
      </c>
      <c r="AH80" s="254">
        <f t="shared" si="22"/>
        <v>-0.15789473684210517</v>
      </c>
      <c r="AI80" s="254">
        <f t="shared" si="22"/>
        <v>-0.12871287128712872</v>
      </c>
      <c r="AJ80" s="254">
        <f t="shared" si="22"/>
        <v>-0.17431192660550462</v>
      </c>
      <c r="AK80" s="254">
        <f t="shared" si="22"/>
        <v>0.4</v>
      </c>
      <c r="AL80" s="254">
        <f t="shared" si="22"/>
        <v>0.44</v>
      </c>
      <c r="AM80" s="254">
        <f t="shared" si="22"/>
        <v>0.45</v>
      </c>
      <c r="AN80" s="254" t="str">
        <f t="shared" si="22"/>
        <v/>
      </c>
      <c r="AO80" s="254" t="str">
        <f t="shared" si="22"/>
        <v>Y</v>
      </c>
      <c r="AP80" s="254"/>
      <c r="AQ80" s="254" t="str">
        <f t="shared" si="22"/>
        <v>The micro CHP unit will cover approx. 50-70 % of the total heat demand. The remaining part should be supplied from a supplementary heater/burner. Electroliser EFF not included (from NE)</v>
      </c>
      <c r="AR80" s="205"/>
      <c r="AS80" s="205"/>
      <c r="AT80" s="205"/>
    </row>
    <row r="81" spans="1:46" s="173" customFormat="1" x14ac:dyDescent="0.2">
      <c r="A81" s="202" t="s">
        <v>799</v>
      </c>
      <c r="B81" s="201" t="s">
        <v>802</v>
      </c>
      <c r="C81" s="203" t="s">
        <v>667</v>
      </c>
      <c r="D81" s="203" t="s">
        <v>672</v>
      </c>
      <c r="E81" s="190" t="str">
        <f t="shared" si="21"/>
        <v>HOB-gas</v>
      </c>
      <c r="F81" s="254" t="str">
        <f t="shared" si="21"/>
        <v>RSDLPG, RSDBGS, RSDGAS</v>
      </c>
      <c r="G81" s="254" t="str">
        <f t="shared" si="21"/>
        <v/>
      </c>
      <c r="H81" s="205" t="s">
        <v>825</v>
      </c>
      <c r="I81" s="205"/>
      <c r="J81" s="205"/>
      <c r="K81" s="254">
        <f t="shared" si="22"/>
        <v>20</v>
      </c>
      <c r="L81" s="255">
        <f t="shared" si="22"/>
        <v>4309</v>
      </c>
      <c r="M81" s="255">
        <f t="shared" si="22"/>
        <v>4309</v>
      </c>
      <c r="N81" s="255">
        <f t="shared" si="22"/>
        <v>4309</v>
      </c>
      <c r="O81" s="255">
        <f t="shared" si="22"/>
        <v>4309</v>
      </c>
      <c r="P81" s="255">
        <f t="shared" si="22"/>
        <v>4309</v>
      </c>
      <c r="Q81" s="255">
        <f t="shared" si="22"/>
        <v>226</v>
      </c>
      <c r="R81" s="254" t="str">
        <f t="shared" si="22"/>
        <v/>
      </c>
      <c r="S81" s="256">
        <f t="shared" si="22"/>
        <v>0.84679858006836706</v>
      </c>
      <c r="T81" s="256">
        <f t="shared" si="22"/>
        <v>0.84679858006836706</v>
      </c>
      <c r="U81" s="256">
        <f t="shared" si="22"/>
        <v>0.84679858006836706</v>
      </c>
      <c r="V81" s="256">
        <f t="shared" si="22"/>
        <v>0.84679858006836706</v>
      </c>
      <c r="W81" s="256">
        <f t="shared" si="22"/>
        <v>0.84679858006836706</v>
      </c>
      <c r="X81" s="254" t="str">
        <f t="shared" si="22"/>
        <v/>
      </c>
      <c r="Y81" s="254" t="str">
        <f t="shared" si="22"/>
        <v/>
      </c>
      <c r="Z81" s="254" t="str">
        <f t="shared" si="22"/>
        <v/>
      </c>
      <c r="AA81" s="254" t="str">
        <f t="shared" si="22"/>
        <v/>
      </c>
      <c r="AB81" s="254" t="str">
        <f t="shared" si="22"/>
        <v/>
      </c>
      <c r="AC81" s="254" t="str">
        <f t="shared" si="22"/>
        <v/>
      </c>
      <c r="AD81" s="254" t="str">
        <f t="shared" si="22"/>
        <v/>
      </c>
      <c r="AE81" s="196">
        <f t="shared" si="22"/>
        <v>0.4</v>
      </c>
      <c r="AF81" s="196">
        <f t="shared" si="22"/>
        <v>1</v>
      </c>
      <c r="AG81" s="196" t="str">
        <f t="shared" si="22"/>
        <v/>
      </c>
      <c r="AH81" s="254" t="str">
        <f t="shared" si="22"/>
        <v/>
      </c>
      <c r="AI81" s="254" t="str">
        <f t="shared" si="22"/>
        <v/>
      </c>
      <c r="AJ81" s="254" t="str">
        <f t="shared" si="22"/>
        <v/>
      </c>
      <c r="AK81" s="254" t="str">
        <f t="shared" si="22"/>
        <v/>
      </c>
      <c r="AL81" s="254" t="str">
        <f t="shared" si="22"/>
        <v/>
      </c>
      <c r="AM81" s="254" t="str">
        <f t="shared" si="22"/>
        <v/>
      </c>
      <c r="AN81" s="254" t="str">
        <f t="shared" si="22"/>
        <v/>
      </c>
      <c r="AO81" s="254" t="str">
        <f t="shared" si="22"/>
        <v/>
      </c>
      <c r="AP81" s="254"/>
      <c r="AQ81" s="254" t="str">
        <f t="shared" si="22"/>
        <v/>
      </c>
      <c r="AR81" s="205"/>
      <c r="AS81" s="205"/>
      <c r="AT81" s="205"/>
    </row>
    <row r="82" spans="1:46" s="175" customFormat="1" x14ac:dyDescent="0.2">
      <c r="A82" s="210" t="s">
        <v>799</v>
      </c>
      <c r="B82" s="206" t="s">
        <v>803</v>
      </c>
      <c r="C82" s="208" t="s">
        <v>668</v>
      </c>
      <c r="D82" s="208" t="s">
        <v>672</v>
      </c>
      <c r="E82" s="191" t="str">
        <f t="shared" si="21"/>
        <v>HOB-oil</v>
      </c>
      <c r="F82" s="257" t="str">
        <f t="shared" si="21"/>
        <v>RSDBDL, RSDOIL</v>
      </c>
      <c r="G82" s="257" t="str">
        <f t="shared" si="21"/>
        <v/>
      </c>
      <c r="H82" s="206" t="s">
        <v>825</v>
      </c>
      <c r="I82" s="206"/>
      <c r="J82" s="206"/>
      <c r="K82" s="257">
        <f t="shared" si="22"/>
        <v>22</v>
      </c>
      <c r="L82" s="258">
        <f t="shared" si="22"/>
        <v>5527</v>
      </c>
      <c r="M82" s="258">
        <f t="shared" si="22"/>
        <v>5527</v>
      </c>
      <c r="N82" s="258">
        <f t="shared" si="22"/>
        <v>5527</v>
      </c>
      <c r="O82" s="258">
        <f t="shared" si="22"/>
        <v>5527</v>
      </c>
      <c r="P82" s="258">
        <f t="shared" si="22"/>
        <v>5527</v>
      </c>
      <c r="Q82" s="258">
        <f t="shared" si="22"/>
        <v>185</v>
      </c>
      <c r="R82" s="257" t="str">
        <f t="shared" si="22"/>
        <v/>
      </c>
      <c r="S82" s="259">
        <f t="shared" si="22"/>
        <v>0.84595205954248598</v>
      </c>
      <c r="T82" s="259">
        <f t="shared" si="22"/>
        <v>0.84595205954248598</v>
      </c>
      <c r="U82" s="259">
        <f t="shared" si="22"/>
        <v>0.84595205954248598</v>
      </c>
      <c r="V82" s="259">
        <f t="shared" si="22"/>
        <v>0.84595205954248598</v>
      </c>
      <c r="W82" s="259">
        <f t="shared" si="22"/>
        <v>0.84595205954248598</v>
      </c>
      <c r="X82" s="257" t="str">
        <f t="shared" si="22"/>
        <v/>
      </c>
      <c r="Y82" s="257" t="str">
        <f t="shared" si="22"/>
        <v/>
      </c>
      <c r="Z82" s="257" t="str">
        <f t="shared" si="22"/>
        <v/>
      </c>
      <c r="AA82" s="257" t="str">
        <f t="shared" si="22"/>
        <v/>
      </c>
      <c r="AB82" s="257" t="str">
        <f t="shared" si="22"/>
        <v/>
      </c>
      <c r="AC82" s="257" t="str">
        <f t="shared" si="22"/>
        <v/>
      </c>
      <c r="AD82" s="257" t="str">
        <f t="shared" si="22"/>
        <v/>
      </c>
      <c r="AE82" s="197">
        <f t="shared" si="22"/>
        <v>0.4</v>
      </c>
      <c r="AF82" s="197">
        <f t="shared" si="22"/>
        <v>1</v>
      </c>
      <c r="AG82" s="197" t="str">
        <f t="shared" si="22"/>
        <v/>
      </c>
      <c r="AH82" s="257" t="str">
        <f t="shared" si="22"/>
        <v/>
      </c>
      <c r="AI82" s="257" t="str">
        <f t="shared" si="22"/>
        <v/>
      </c>
      <c r="AJ82" s="257" t="str">
        <f t="shared" si="22"/>
        <v/>
      </c>
      <c r="AK82" s="257" t="str">
        <f t="shared" si="22"/>
        <v/>
      </c>
      <c r="AL82" s="257" t="str">
        <f t="shared" si="22"/>
        <v/>
      </c>
      <c r="AM82" s="257" t="str">
        <f t="shared" si="22"/>
        <v/>
      </c>
      <c r="AN82" s="257" t="str">
        <f t="shared" si="22"/>
        <v/>
      </c>
      <c r="AO82" s="257" t="str">
        <f t="shared" si="22"/>
        <v/>
      </c>
      <c r="AP82" s="257"/>
      <c r="AQ82" s="257" t="str">
        <f t="shared" si="22"/>
        <v/>
      </c>
      <c r="AR82" s="206"/>
      <c r="AS82" s="206"/>
      <c r="AT82" s="206"/>
    </row>
    <row r="83" spans="1:46" s="194" customFormat="1" x14ac:dyDescent="0.2">
      <c r="A83" s="211"/>
      <c r="B83" s="205"/>
      <c r="C83" s="212"/>
      <c r="D83" s="212"/>
      <c r="E83" s="195"/>
      <c r="F83" s="205"/>
      <c r="G83" s="205"/>
      <c r="H83" s="205"/>
      <c r="I83" s="205"/>
      <c r="J83" s="205"/>
      <c r="K83" s="222"/>
      <c r="L83" s="223"/>
      <c r="M83" s="223"/>
      <c r="N83" s="223"/>
      <c r="O83" s="223"/>
      <c r="P83" s="223"/>
      <c r="Q83" s="223"/>
      <c r="R83" s="205"/>
      <c r="S83" s="224"/>
      <c r="T83" s="224"/>
      <c r="U83" s="224"/>
      <c r="V83" s="224"/>
      <c r="W83" s="224"/>
      <c r="X83" s="184"/>
      <c r="Y83" s="205"/>
      <c r="Z83" s="205"/>
      <c r="AA83" s="205"/>
      <c r="AB83" s="205"/>
      <c r="AC83" s="205"/>
      <c r="AD83" s="205"/>
      <c r="AE83" s="205"/>
      <c r="AF83" s="205"/>
      <c r="AG83" s="205"/>
      <c r="AH83" s="251"/>
      <c r="AI83" s="251"/>
      <c r="AJ83" s="251"/>
      <c r="AK83" s="187"/>
      <c r="AL83" s="187"/>
      <c r="AM83" s="187"/>
      <c r="AN83" s="205"/>
      <c r="AO83" s="205"/>
      <c r="AP83" s="205"/>
      <c r="AQ83" s="205"/>
      <c r="AR83" s="205"/>
      <c r="AS83" s="205"/>
      <c r="AT83" s="205"/>
    </row>
    <row r="84" spans="1:46" s="168" customFormat="1" ht="28.5" customHeight="1" x14ac:dyDescent="0.2">
      <c r="A84" s="289" t="s">
        <v>531</v>
      </c>
      <c r="B84" s="289" t="s">
        <v>532</v>
      </c>
      <c r="C84" s="289" t="s">
        <v>533</v>
      </c>
      <c r="D84" s="289" t="s">
        <v>534</v>
      </c>
      <c r="E84" s="289" t="s">
        <v>535</v>
      </c>
      <c r="F84" s="290" t="s">
        <v>301</v>
      </c>
      <c r="G84" s="290" t="s">
        <v>536</v>
      </c>
      <c r="H84" s="290" t="s">
        <v>537</v>
      </c>
      <c r="I84" s="290" t="s">
        <v>538</v>
      </c>
      <c r="J84" s="290" t="s">
        <v>539</v>
      </c>
      <c r="K84" s="291" t="s">
        <v>216</v>
      </c>
      <c r="L84" s="214" t="s">
        <v>807</v>
      </c>
      <c r="M84" s="214" t="s">
        <v>387</v>
      </c>
      <c r="N84" s="214" t="s">
        <v>540</v>
      </c>
      <c r="O84" s="214" t="s">
        <v>541</v>
      </c>
      <c r="P84" s="214" t="s">
        <v>364</v>
      </c>
      <c r="Q84" s="214" t="s">
        <v>808</v>
      </c>
      <c r="R84" s="214" t="s">
        <v>809</v>
      </c>
      <c r="S84" s="291" t="s">
        <v>258</v>
      </c>
      <c r="T84" s="291" t="s">
        <v>542</v>
      </c>
      <c r="U84" s="291" t="s">
        <v>543</v>
      </c>
      <c r="V84" s="291" t="s">
        <v>544</v>
      </c>
      <c r="W84" s="291" t="s">
        <v>545</v>
      </c>
      <c r="X84" s="291" t="s">
        <v>546</v>
      </c>
      <c r="Y84" s="291" t="s">
        <v>547</v>
      </c>
      <c r="Z84" s="291" t="s">
        <v>548</v>
      </c>
      <c r="AA84" s="291" t="s">
        <v>549</v>
      </c>
      <c r="AB84" s="291" t="s">
        <v>550</v>
      </c>
      <c r="AC84" s="291" t="s">
        <v>551</v>
      </c>
      <c r="AD84" s="291" t="s">
        <v>292</v>
      </c>
      <c r="AE84" s="291" t="s">
        <v>552</v>
      </c>
      <c r="AF84" s="291" t="s">
        <v>553</v>
      </c>
      <c r="AG84" s="291" t="s">
        <v>554</v>
      </c>
      <c r="AH84" s="291" t="s">
        <v>389</v>
      </c>
      <c r="AI84" s="291" t="s">
        <v>555</v>
      </c>
      <c r="AJ84" s="291" t="s">
        <v>556</v>
      </c>
      <c r="AK84" s="291" t="s">
        <v>557</v>
      </c>
      <c r="AL84" s="291" t="s">
        <v>558</v>
      </c>
      <c r="AM84" s="291" t="s">
        <v>559</v>
      </c>
      <c r="AN84" s="291" t="s">
        <v>560</v>
      </c>
      <c r="AO84" s="292" t="s">
        <v>561</v>
      </c>
      <c r="AP84" s="292" t="s">
        <v>562</v>
      </c>
      <c r="AQ84" s="293" t="s">
        <v>563</v>
      </c>
      <c r="AR84" s="291" t="s">
        <v>564</v>
      </c>
      <c r="AS84" s="291" t="s">
        <v>565</v>
      </c>
      <c r="AT84" s="200"/>
    </row>
    <row r="85" spans="1:46" x14ac:dyDescent="0.2">
      <c r="A85" s="199" t="s">
        <v>702</v>
      </c>
      <c r="B85" s="199"/>
      <c r="C85" s="199"/>
      <c r="D85" s="199"/>
      <c r="E85" s="167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201"/>
      <c r="AS85" s="201"/>
      <c r="AT85" s="201"/>
    </row>
    <row r="86" spans="1:46" s="173" customFormat="1" x14ac:dyDescent="0.2">
      <c r="A86" s="200" t="s">
        <v>567</v>
      </c>
      <c r="B86" s="201" t="s">
        <v>703</v>
      </c>
      <c r="C86" s="200" t="s">
        <v>569</v>
      </c>
      <c r="D86" s="200" t="s">
        <v>438</v>
      </c>
      <c r="E86" s="190" t="str">
        <f t="shared" ref="E86:G101" si="23">IF(E4="","",E4)</f>
        <v>HOB-oil</v>
      </c>
      <c r="F86" s="254" t="str">
        <f t="shared" si="23"/>
        <v>RSDOIL, RSDBDL</v>
      </c>
      <c r="G86" s="254" t="str">
        <f t="shared" si="23"/>
        <v/>
      </c>
      <c r="H86" s="201" t="s">
        <v>704</v>
      </c>
      <c r="I86" s="205"/>
      <c r="J86" s="205"/>
      <c r="K86" s="254">
        <f t="shared" ref="K86:AQ93" si="24">IF(K4="","",K4)</f>
        <v>20</v>
      </c>
      <c r="L86" s="255">
        <f t="shared" si="24"/>
        <v>5527</v>
      </c>
      <c r="M86" s="255">
        <f t="shared" si="24"/>
        <v>5527</v>
      </c>
      <c r="N86" s="255">
        <f t="shared" si="24"/>
        <v>5527</v>
      </c>
      <c r="O86" s="255">
        <f t="shared" si="24"/>
        <v>5527</v>
      </c>
      <c r="P86" s="255">
        <f t="shared" si="24"/>
        <v>5527</v>
      </c>
      <c r="Q86" s="255">
        <f t="shared" si="24"/>
        <v>185</v>
      </c>
      <c r="R86" s="254" t="str">
        <f t="shared" si="24"/>
        <v/>
      </c>
      <c r="S86" s="256">
        <f t="shared" si="24"/>
        <v>0.84595205954248598</v>
      </c>
      <c r="T86" s="256">
        <f t="shared" si="24"/>
        <v>0.84595205954248598</v>
      </c>
      <c r="U86" s="256">
        <f t="shared" si="24"/>
        <v>0.84595205954248598</v>
      </c>
      <c r="V86" s="256">
        <f t="shared" si="24"/>
        <v>0.84595205954248598</v>
      </c>
      <c r="W86" s="256">
        <f t="shared" si="24"/>
        <v>0.84595205954248598</v>
      </c>
      <c r="X86" s="254" t="str">
        <f t="shared" si="24"/>
        <v/>
      </c>
      <c r="Y86" s="254" t="str">
        <f t="shared" si="24"/>
        <v/>
      </c>
      <c r="Z86" s="254" t="str">
        <f t="shared" si="24"/>
        <v/>
      </c>
      <c r="AA86" s="254" t="str">
        <f t="shared" si="24"/>
        <v/>
      </c>
      <c r="AB86" s="254" t="str">
        <f t="shared" si="24"/>
        <v/>
      </c>
      <c r="AC86" s="254" t="str">
        <f t="shared" si="24"/>
        <v/>
      </c>
      <c r="AD86" s="254" t="str">
        <f t="shared" si="24"/>
        <v/>
      </c>
      <c r="AE86" s="196">
        <f t="shared" si="24"/>
        <v>1</v>
      </c>
      <c r="AF86" s="196">
        <f t="shared" si="24"/>
        <v>1</v>
      </c>
      <c r="AG86" s="196" t="str">
        <f t="shared" si="24"/>
        <v/>
      </c>
      <c r="AH86" s="254" t="str">
        <f t="shared" si="24"/>
        <v/>
      </c>
      <c r="AI86" s="254" t="str">
        <f t="shared" si="24"/>
        <v/>
      </c>
      <c r="AJ86" s="254" t="str">
        <f t="shared" si="24"/>
        <v/>
      </c>
      <c r="AK86" s="254" t="str">
        <f t="shared" si="24"/>
        <v/>
      </c>
      <c r="AL86" s="254" t="str">
        <f t="shared" si="24"/>
        <v/>
      </c>
      <c r="AM86" s="254" t="str">
        <f t="shared" si="24"/>
        <v/>
      </c>
      <c r="AN86" s="254" t="str">
        <f t="shared" si="24"/>
        <v/>
      </c>
      <c r="AO86" s="254" t="str">
        <f t="shared" si="24"/>
        <v/>
      </c>
      <c r="AP86" s="254"/>
      <c r="AQ86" s="254" t="str">
        <f t="shared" si="24"/>
        <v/>
      </c>
      <c r="AR86" s="205"/>
      <c r="AS86" s="205"/>
      <c r="AT86" s="205"/>
    </row>
    <row r="87" spans="1:46" s="173" customFormat="1" x14ac:dyDescent="0.2">
      <c r="A87" s="201" t="s">
        <v>567</v>
      </c>
      <c r="B87" s="201" t="s">
        <v>705</v>
      </c>
      <c r="C87" s="200" t="s">
        <v>575</v>
      </c>
      <c r="D87" s="200" t="s">
        <v>438</v>
      </c>
      <c r="E87" s="190" t="str">
        <f t="shared" si="23"/>
        <v>HOB-oil</v>
      </c>
      <c r="F87" s="254" t="str">
        <f t="shared" si="23"/>
        <v>RSDOIL, RSDBDL</v>
      </c>
      <c r="G87" s="254" t="str">
        <f t="shared" si="23"/>
        <v/>
      </c>
      <c r="H87" s="201" t="s">
        <v>704</v>
      </c>
      <c r="I87" s="205"/>
      <c r="J87" s="205"/>
      <c r="K87" s="254">
        <f t="shared" si="24"/>
        <v>20</v>
      </c>
      <c r="L87" s="255">
        <f t="shared" si="24"/>
        <v>5527</v>
      </c>
      <c r="M87" s="255">
        <f t="shared" si="24"/>
        <v>5527</v>
      </c>
      <c r="N87" s="255">
        <f t="shared" si="24"/>
        <v>5527</v>
      </c>
      <c r="O87" s="255">
        <f t="shared" si="24"/>
        <v>5527</v>
      </c>
      <c r="P87" s="255">
        <f t="shared" si="24"/>
        <v>5527</v>
      </c>
      <c r="Q87" s="255">
        <f t="shared" si="24"/>
        <v>185</v>
      </c>
      <c r="R87" s="254" t="str">
        <f t="shared" si="24"/>
        <v/>
      </c>
      <c r="S87" s="256">
        <f t="shared" si="24"/>
        <v>0.84595205954248598</v>
      </c>
      <c r="T87" s="256">
        <f t="shared" si="24"/>
        <v>0.84595205954248598</v>
      </c>
      <c r="U87" s="256">
        <f t="shared" si="24"/>
        <v>0.84595205954248598</v>
      </c>
      <c r="V87" s="256">
        <f t="shared" si="24"/>
        <v>0.84595205954248598</v>
      </c>
      <c r="W87" s="256">
        <f t="shared" si="24"/>
        <v>0.84595205954248598</v>
      </c>
      <c r="X87" s="254" t="str">
        <f t="shared" si="24"/>
        <v/>
      </c>
      <c r="Y87" s="254" t="str">
        <f t="shared" si="24"/>
        <v/>
      </c>
      <c r="Z87" s="254" t="str">
        <f t="shared" si="24"/>
        <v/>
      </c>
      <c r="AA87" s="254" t="str">
        <f t="shared" si="24"/>
        <v/>
      </c>
      <c r="AB87" s="254" t="str">
        <f t="shared" si="24"/>
        <v/>
      </c>
      <c r="AC87" s="254" t="str">
        <f t="shared" si="24"/>
        <v/>
      </c>
      <c r="AD87" s="254" t="str">
        <f t="shared" si="24"/>
        <v/>
      </c>
      <c r="AE87" s="196" t="str">
        <f t="shared" si="24"/>
        <v/>
      </c>
      <c r="AF87" s="196" t="str">
        <f t="shared" si="24"/>
        <v/>
      </c>
      <c r="AG87" s="196" t="str">
        <f t="shared" si="24"/>
        <v/>
      </c>
      <c r="AH87" s="254" t="str">
        <f t="shared" si="24"/>
        <v/>
      </c>
      <c r="AI87" s="254" t="str">
        <f t="shared" si="24"/>
        <v/>
      </c>
      <c r="AJ87" s="254" t="str">
        <f t="shared" si="24"/>
        <v/>
      </c>
      <c r="AK87" s="254" t="str">
        <f t="shared" si="24"/>
        <v/>
      </c>
      <c r="AL87" s="254" t="str">
        <f t="shared" si="24"/>
        <v/>
      </c>
      <c r="AM87" s="254" t="str">
        <f t="shared" si="24"/>
        <v/>
      </c>
      <c r="AN87" s="254" t="str">
        <f t="shared" si="24"/>
        <v/>
      </c>
      <c r="AO87" s="254" t="str">
        <f t="shared" si="24"/>
        <v/>
      </c>
      <c r="AP87" s="254"/>
      <c r="AQ87" s="254" t="str">
        <f t="shared" si="24"/>
        <v/>
      </c>
      <c r="AR87" s="205"/>
      <c r="AS87" s="205"/>
      <c r="AT87" s="205"/>
    </row>
    <row r="88" spans="1:46" s="173" customFormat="1" x14ac:dyDescent="0.2">
      <c r="A88" s="202" t="s">
        <v>799</v>
      </c>
      <c r="B88" s="201" t="str">
        <f>B87&amp;"-"&amp;RIGHT(F88,3)&amp;"spl"</f>
        <v>R_ES-SH-SD_OIL02-SOLspl</v>
      </c>
      <c r="C88" s="203" t="s">
        <v>578</v>
      </c>
      <c r="D88" s="203" t="s">
        <v>438</v>
      </c>
      <c r="E88" s="190" t="str">
        <f t="shared" si="23"/>
        <v>Solar heating and hot tap water</v>
      </c>
      <c r="F88" s="254" t="str">
        <f t="shared" si="23"/>
        <v>RSDSOL</v>
      </c>
      <c r="G88" s="254" t="str">
        <f t="shared" si="23"/>
        <v/>
      </c>
      <c r="H88" s="201" t="s">
        <v>704</v>
      </c>
      <c r="I88" s="205"/>
      <c r="J88" s="205"/>
      <c r="K88" s="254">
        <f t="shared" si="24"/>
        <v>20</v>
      </c>
      <c r="L88" s="255">
        <f t="shared" si="24"/>
        <v>6294</v>
      </c>
      <c r="M88" s="255">
        <f t="shared" si="24"/>
        <v>6000.36</v>
      </c>
      <c r="N88" s="255">
        <f t="shared" si="24"/>
        <v>5755.66</v>
      </c>
      <c r="O88" s="255">
        <f t="shared" si="24"/>
        <v>4678.9799999999996</v>
      </c>
      <c r="P88" s="255">
        <f t="shared" si="24"/>
        <v>4678.9799999999996</v>
      </c>
      <c r="Q88" s="255">
        <f t="shared" si="24"/>
        <v>115</v>
      </c>
      <c r="R88" s="254" t="str">
        <f t="shared" si="24"/>
        <v/>
      </c>
      <c r="S88" s="256">
        <f t="shared" si="24"/>
        <v>1</v>
      </c>
      <c r="T88" s="256" t="str">
        <f t="shared" si="24"/>
        <v/>
      </c>
      <c r="U88" s="256" t="str">
        <f t="shared" si="24"/>
        <v/>
      </c>
      <c r="V88" s="256" t="str">
        <f t="shared" si="24"/>
        <v/>
      </c>
      <c r="W88" s="256" t="str">
        <f t="shared" si="24"/>
        <v/>
      </c>
      <c r="X88" s="254" t="str">
        <f t="shared" si="24"/>
        <v/>
      </c>
      <c r="Y88" s="254" t="str">
        <f t="shared" si="24"/>
        <v/>
      </c>
      <c r="Z88" s="254" t="str">
        <f t="shared" si="24"/>
        <v/>
      </c>
      <c r="AA88" s="254" t="str">
        <f t="shared" si="24"/>
        <v/>
      </c>
      <c r="AB88" s="254" t="str">
        <f t="shared" si="24"/>
        <v/>
      </c>
      <c r="AC88" s="254" t="str">
        <f t="shared" si="24"/>
        <v/>
      </c>
      <c r="AD88" s="254" t="str">
        <f t="shared" si="24"/>
        <v/>
      </c>
      <c r="AE88" s="196">
        <f t="shared" si="24"/>
        <v>0.15</v>
      </c>
      <c r="AF88" s="196">
        <f t="shared" si="24"/>
        <v>0.15</v>
      </c>
      <c r="AG88" s="196" t="str">
        <f t="shared" si="24"/>
        <v/>
      </c>
      <c r="AH88" s="254" t="str">
        <f t="shared" si="24"/>
        <v/>
      </c>
      <c r="AI88" s="254" t="str">
        <f t="shared" si="24"/>
        <v/>
      </c>
      <c r="AJ88" s="254" t="str">
        <f t="shared" si="24"/>
        <v/>
      </c>
      <c r="AK88" s="254" t="str">
        <f t="shared" si="24"/>
        <v/>
      </c>
      <c r="AL88" s="254" t="str">
        <f t="shared" si="24"/>
        <v/>
      </c>
      <c r="AM88" s="254" t="str">
        <f t="shared" si="24"/>
        <v/>
      </c>
      <c r="AN88" s="254" t="str">
        <f t="shared" si="24"/>
        <v/>
      </c>
      <c r="AO88" s="254" t="str">
        <f t="shared" si="24"/>
        <v>Y</v>
      </c>
      <c r="AP88" s="254"/>
      <c r="AQ88" s="254" t="str">
        <f t="shared" si="24"/>
        <v>Solar share 10-20 % (used 15%) as Gas+Solar</v>
      </c>
      <c r="AR88" s="205"/>
      <c r="AS88" s="205"/>
      <c r="AT88" s="205"/>
    </row>
    <row r="89" spans="1:46" s="173" customFormat="1" x14ac:dyDescent="0.2">
      <c r="A89" s="202" t="s">
        <v>799</v>
      </c>
      <c r="B89" s="201" t="str">
        <f>B87&amp;"-"&amp;RIGHT(F89,3)&amp;"spl"</f>
        <v>R_ES-SH-SD_OIL02-BIOspl</v>
      </c>
      <c r="C89" s="203" t="s">
        <v>581</v>
      </c>
      <c r="D89" s="203" t="s">
        <v>438</v>
      </c>
      <c r="E89" s="190" t="str">
        <f t="shared" si="23"/>
        <v>HOB-wood</v>
      </c>
      <c r="F89" s="254" t="str">
        <f t="shared" si="23"/>
        <v>RSDBIO</v>
      </c>
      <c r="G89" s="254" t="str">
        <f t="shared" si="23"/>
        <v/>
      </c>
      <c r="H89" s="201" t="s">
        <v>400</v>
      </c>
      <c r="I89" s="205"/>
      <c r="J89" s="205"/>
      <c r="K89" s="254">
        <f t="shared" si="24"/>
        <v>20</v>
      </c>
      <c r="L89" s="255">
        <f t="shared" si="24"/>
        <v>4200</v>
      </c>
      <c r="M89" s="255">
        <f t="shared" si="24"/>
        <v>4200</v>
      </c>
      <c r="N89" s="255">
        <f t="shared" si="24"/>
        <v>5100</v>
      </c>
      <c r="O89" s="255">
        <f t="shared" si="24"/>
        <v>5100</v>
      </c>
      <c r="P89" s="255">
        <f t="shared" si="24"/>
        <v>5100</v>
      </c>
      <c r="Q89" s="255">
        <f t="shared" si="24"/>
        <v>1</v>
      </c>
      <c r="R89" s="254" t="str">
        <f t="shared" si="24"/>
        <v/>
      </c>
      <c r="S89" s="256">
        <f t="shared" si="24"/>
        <v>0.65</v>
      </c>
      <c r="T89" s="256">
        <f t="shared" si="24"/>
        <v>0.7</v>
      </c>
      <c r="U89" s="256">
        <f t="shared" si="24"/>
        <v>0.75</v>
      </c>
      <c r="V89" s="256">
        <f t="shared" si="24"/>
        <v>0.75</v>
      </c>
      <c r="W89" s="256">
        <f t="shared" si="24"/>
        <v>0.75</v>
      </c>
      <c r="X89" s="254" t="str">
        <f t="shared" si="24"/>
        <v/>
      </c>
      <c r="Y89" s="254" t="str">
        <f t="shared" si="24"/>
        <v/>
      </c>
      <c r="Z89" s="254" t="str">
        <f t="shared" si="24"/>
        <v/>
      </c>
      <c r="AA89" s="254" t="str">
        <f t="shared" si="24"/>
        <v/>
      </c>
      <c r="AB89" s="254" t="str">
        <f t="shared" si="24"/>
        <v/>
      </c>
      <c r="AC89" s="254" t="str">
        <f t="shared" si="24"/>
        <v/>
      </c>
      <c r="AD89" s="254" t="str">
        <f t="shared" si="24"/>
        <v/>
      </c>
      <c r="AE89" s="196">
        <f t="shared" si="24"/>
        <v>0.4</v>
      </c>
      <c r="AF89" s="196" t="str">
        <f t="shared" si="24"/>
        <v/>
      </c>
      <c r="AG89" s="196" t="str">
        <f t="shared" si="24"/>
        <v/>
      </c>
      <c r="AH89" s="254" t="str">
        <f t="shared" si="24"/>
        <v/>
      </c>
      <c r="AI89" s="254" t="str">
        <f t="shared" si="24"/>
        <v/>
      </c>
      <c r="AJ89" s="254" t="str">
        <f t="shared" si="24"/>
        <v/>
      </c>
      <c r="AK89" s="254" t="str">
        <f t="shared" si="24"/>
        <v/>
      </c>
      <c r="AL89" s="254" t="str">
        <f t="shared" si="24"/>
        <v/>
      </c>
      <c r="AM89" s="254" t="str">
        <f t="shared" si="24"/>
        <v/>
      </c>
      <c r="AN89" s="254" t="str">
        <f t="shared" si="24"/>
        <v/>
      </c>
      <c r="AO89" s="254" t="str">
        <f t="shared" si="24"/>
        <v>Y</v>
      </c>
      <c r="AP89" s="254"/>
      <c r="AQ89" s="254" t="str">
        <f t="shared" si="24"/>
        <v>Added Storage costs (add. inv.)</v>
      </c>
      <c r="AR89" s="205"/>
      <c r="AS89" s="205"/>
      <c r="AT89" s="205"/>
    </row>
    <row r="90" spans="1:46" s="173" customFormat="1" x14ac:dyDescent="0.2">
      <c r="A90" s="200" t="s">
        <v>567</v>
      </c>
      <c r="B90" s="201" t="s">
        <v>706</v>
      </c>
      <c r="C90" s="201" t="s">
        <v>584</v>
      </c>
      <c r="D90" s="201" t="s">
        <v>438</v>
      </c>
      <c r="E90" s="190" t="str">
        <f t="shared" si="23"/>
        <v>HOB-gas</v>
      </c>
      <c r="F90" s="254" t="str">
        <f t="shared" si="23"/>
        <v>RSDGAS, RSDLPG, RSDBGS</v>
      </c>
      <c r="G90" s="254" t="str">
        <f t="shared" si="23"/>
        <v/>
      </c>
      <c r="H90" s="201" t="s">
        <v>704</v>
      </c>
      <c r="I90" s="205"/>
      <c r="J90" s="205"/>
      <c r="K90" s="254">
        <f t="shared" si="24"/>
        <v>22</v>
      </c>
      <c r="L90" s="255">
        <f t="shared" si="24"/>
        <v>4309</v>
      </c>
      <c r="M90" s="255">
        <f t="shared" si="24"/>
        <v>4309</v>
      </c>
      <c r="N90" s="255">
        <f t="shared" si="24"/>
        <v>4309</v>
      </c>
      <c r="O90" s="255">
        <f t="shared" si="24"/>
        <v>4309</v>
      </c>
      <c r="P90" s="255">
        <f t="shared" si="24"/>
        <v>4309</v>
      </c>
      <c r="Q90" s="255">
        <f t="shared" si="24"/>
        <v>226</v>
      </c>
      <c r="R90" s="254" t="str">
        <f t="shared" si="24"/>
        <v/>
      </c>
      <c r="S90" s="256">
        <f t="shared" si="24"/>
        <v>0.84679858006836706</v>
      </c>
      <c r="T90" s="256">
        <f t="shared" si="24"/>
        <v>0.84679858006836706</v>
      </c>
      <c r="U90" s="256">
        <f t="shared" si="24"/>
        <v>0.84679858006836706</v>
      </c>
      <c r="V90" s="256">
        <f t="shared" si="24"/>
        <v>0.84679858006836706</v>
      </c>
      <c r="W90" s="256">
        <f t="shared" si="24"/>
        <v>0.84679858006836706</v>
      </c>
      <c r="X90" s="254" t="str">
        <f t="shared" si="24"/>
        <v/>
      </c>
      <c r="Y90" s="254" t="str">
        <f t="shared" si="24"/>
        <v/>
      </c>
      <c r="Z90" s="254" t="str">
        <f t="shared" si="24"/>
        <v/>
      </c>
      <c r="AA90" s="254" t="str">
        <f t="shared" si="24"/>
        <v/>
      </c>
      <c r="AB90" s="254" t="str">
        <f t="shared" si="24"/>
        <v/>
      </c>
      <c r="AC90" s="254" t="str">
        <f t="shared" si="24"/>
        <v/>
      </c>
      <c r="AD90" s="254" t="str">
        <f t="shared" si="24"/>
        <v/>
      </c>
      <c r="AE90" s="196">
        <f t="shared" si="24"/>
        <v>1</v>
      </c>
      <c r="AF90" s="196">
        <f t="shared" si="24"/>
        <v>1</v>
      </c>
      <c r="AG90" s="196" t="str">
        <f t="shared" si="24"/>
        <v/>
      </c>
      <c r="AH90" s="254" t="str">
        <f t="shared" si="24"/>
        <v/>
      </c>
      <c r="AI90" s="254" t="str">
        <f t="shared" si="24"/>
        <v/>
      </c>
      <c r="AJ90" s="254" t="str">
        <f t="shared" si="24"/>
        <v/>
      </c>
      <c r="AK90" s="254" t="str">
        <f t="shared" si="24"/>
        <v/>
      </c>
      <c r="AL90" s="254" t="str">
        <f t="shared" si="24"/>
        <v/>
      </c>
      <c r="AM90" s="254" t="str">
        <f t="shared" si="24"/>
        <v/>
      </c>
      <c r="AN90" s="254" t="str">
        <f t="shared" si="24"/>
        <v/>
      </c>
      <c r="AO90" s="254" t="str">
        <f t="shared" si="24"/>
        <v/>
      </c>
      <c r="AP90" s="254"/>
      <c r="AQ90" s="254" t="str">
        <f t="shared" si="24"/>
        <v/>
      </c>
      <c r="AR90" s="205"/>
      <c r="AS90" s="205"/>
      <c r="AT90" s="205"/>
    </row>
    <row r="91" spans="1:46" s="173" customFormat="1" x14ac:dyDescent="0.2">
      <c r="A91" s="200" t="s">
        <v>567</v>
      </c>
      <c r="B91" s="201" t="s">
        <v>707</v>
      </c>
      <c r="C91" s="201" t="s">
        <v>589</v>
      </c>
      <c r="D91" s="201" t="s">
        <v>438</v>
      </c>
      <c r="E91" s="190" t="str">
        <f t="shared" si="23"/>
        <v>HOB-gas</v>
      </c>
      <c r="F91" s="254" t="str">
        <f t="shared" si="23"/>
        <v>RSDGAS, RSDLPG, RSDBGS</v>
      </c>
      <c r="G91" s="254" t="str">
        <f t="shared" si="23"/>
        <v/>
      </c>
      <c r="H91" s="201" t="s">
        <v>704</v>
      </c>
      <c r="I91" s="205"/>
      <c r="J91" s="205"/>
      <c r="K91" s="254">
        <f t="shared" si="24"/>
        <v>22</v>
      </c>
      <c r="L91" s="255">
        <f t="shared" si="24"/>
        <v>4309</v>
      </c>
      <c r="M91" s="255">
        <f t="shared" si="24"/>
        <v>4309</v>
      </c>
      <c r="N91" s="255">
        <f t="shared" si="24"/>
        <v>4309</v>
      </c>
      <c r="O91" s="255">
        <f t="shared" si="24"/>
        <v>4309</v>
      </c>
      <c r="P91" s="255">
        <f t="shared" si="24"/>
        <v>4309</v>
      </c>
      <c r="Q91" s="255">
        <f t="shared" si="24"/>
        <v>226</v>
      </c>
      <c r="R91" s="254" t="str">
        <f t="shared" si="24"/>
        <v/>
      </c>
      <c r="S91" s="256">
        <f t="shared" si="24"/>
        <v>0.84679858006836706</v>
      </c>
      <c r="T91" s="256">
        <f t="shared" si="24"/>
        <v>0.84679858006836706</v>
      </c>
      <c r="U91" s="256">
        <f t="shared" si="24"/>
        <v>0.84679858006836706</v>
      </c>
      <c r="V91" s="256">
        <f t="shared" si="24"/>
        <v>0.84679858006836706</v>
      </c>
      <c r="W91" s="256">
        <f t="shared" si="24"/>
        <v>0.84679858006836706</v>
      </c>
      <c r="X91" s="254" t="str">
        <f t="shared" si="24"/>
        <v/>
      </c>
      <c r="Y91" s="254" t="str">
        <f t="shared" si="24"/>
        <v/>
      </c>
      <c r="Z91" s="254" t="str">
        <f t="shared" si="24"/>
        <v/>
      </c>
      <c r="AA91" s="254" t="str">
        <f t="shared" si="24"/>
        <v/>
      </c>
      <c r="AB91" s="254" t="str">
        <f t="shared" si="24"/>
        <v/>
      </c>
      <c r="AC91" s="254" t="str">
        <f t="shared" si="24"/>
        <v/>
      </c>
      <c r="AD91" s="254" t="str">
        <f t="shared" si="24"/>
        <v/>
      </c>
      <c r="AE91" s="196">
        <f t="shared" si="24"/>
        <v>1</v>
      </c>
      <c r="AF91" s="196">
        <f t="shared" si="24"/>
        <v>1</v>
      </c>
      <c r="AG91" s="196" t="str">
        <f t="shared" si="24"/>
        <v/>
      </c>
      <c r="AH91" s="254" t="str">
        <f t="shared" si="24"/>
        <v/>
      </c>
      <c r="AI91" s="254" t="str">
        <f t="shared" si="24"/>
        <v/>
      </c>
      <c r="AJ91" s="254" t="str">
        <f t="shared" si="24"/>
        <v/>
      </c>
      <c r="AK91" s="254" t="str">
        <f t="shared" si="24"/>
        <v/>
      </c>
      <c r="AL91" s="254" t="str">
        <f t="shared" si="24"/>
        <v/>
      </c>
      <c r="AM91" s="254" t="str">
        <f t="shared" si="24"/>
        <v/>
      </c>
      <c r="AN91" s="254" t="str">
        <f t="shared" si="24"/>
        <v/>
      </c>
      <c r="AO91" s="254" t="str">
        <f t="shared" si="24"/>
        <v/>
      </c>
      <c r="AP91" s="254"/>
      <c r="AQ91" s="254" t="str">
        <f t="shared" si="24"/>
        <v/>
      </c>
      <c r="AR91" s="205"/>
      <c r="AS91" s="205"/>
      <c r="AT91" s="205"/>
    </row>
    <row r="92" spans="1:46" s="173" customFormat="1" x14ac:dyDescent="0.2">
      <c r="A92" s="202" t="s">
        <v>799</v>
      </c>
      <c r="B92" s="201" t="str">
        <f>B91&amp;"-"&amp;RIGHT(F92,3)&amp;"spl"</f>
        <v>R_ES-SH-SD_GAS02-SOLspl</v>
      </c>
      <c r="C92" s="203" t="s">
        <v>590</v>
      </c>
      <c r="D92" s="203" t="s">
        <v>438</v>
      </c>
      <c r="E92" s="190" t="str">
        <f t="shared" si="23"/>
        <v>Solar heating and hot tap water</v>
      </c>
      <c r="F92" s="254" t="str">
        <f t="shared" si="23"/>
        <v>RSDSOL</v>
      </c>
      <c r="G92" s="254" t="str">
        <f t="shared" si="23"/>
        <v/>
      </c>
      <c r="H92" s="201" t="s">
        <v>704</v>
      </c>
      <c r="I92" s="205"/>
      <c r="J92" s="205"/>
      <c r="K92" s="254">
        <f t="shared" si="24"/>
        <v>20</v>
      </c>
      <c r="L92" s="255">
        <f t="shared" si="24"/>
        <v>6294</v>
      </c>
      <c r="M92" s="255">
        <f t="shared" si="24"/>
        <v>6000.36</v>
      </c>
      <c r="N92" s="255">
        <f t="shared" si="24"/>
        <v>5755.66</v>
      </c>
      <c r="O92" s="255">
        <f t="shared" si="24"/>
        <v>4678.9799999999996</v>
      </c>
      <c r="P92" s="255">
        <f t="shared" si="24"/>
        <v>4678.9799999999996</v>
      </c>
      <c r="Q92" s="255">
        <f t="shared" si="24"/>
        <v>115</v>
      </c>
      <c r="R92" s="254" t="str">
        <f t="shared" si="24"/>
        <v/>
      </c>
      <c r="S92" s="256">
        <f t="shared" si="24"/>
        <v>1</v>
      </c>
      <c r="T92" s="256" t="str">
        <f t="shared" si="24"/>
        <v/>
      </c>
      <c r="U92" s="256" t="str">
        <f t="shared" si="24"/>
        <v/>
      </c>
      <c r="V92" s="256" t="str">
        <f t="shared" si="24"/>
        <v/>
      </c>
      <c r="W92" s="256" t="str">
        <f t="shared" si="24"/>
        <v/>
      </c>
      <c r="X92" s="254" t="str">
        <f t="shared" si="24"/>
        <v/>
      </c>
      <c r="Y92" s="254" t="str">
        <f t="shared" si="24"/>
        <v/>
      </c>
      <c r="Z92" s="254" t="str">
        <f t="shared" si="24"/>
        <v/>
      </c>
      <c r="AA92" s="254" t="str">
        <f t="shared" si="24"/>
        <v/>
      </c>
      <c r="AB92" s="254" t="str">
        <f t="shared" si="24"/>
        <v/>
      </c>
      <c r="AC92" s="254" t="str">
        <f t="shared" si="24"/>
        <v/>
      </c>
      <c r="AD92" s="254" t="str">
        <f t="shared" si="24"/>
        <v/>
      </c>
      <c r="AE92" s="196">
        <f t="shared" si="24"/>
        <v>0.15</v>
      </c>
      <c r="AF92" s="196">
        <f t="shared" si="24"/>
        <v>0.15</v>
      </c>
      <c r="AG92" s="196" t="str">
        <f t="shared" si="24"/>
        <v/>
      </c>
      <c r="AH92" s="254" t="str">
        <f t="shared" si="24"/>
        <v/>
      </c>
      <c r="AI92" s="254" t="str">
        <f t="shared" si="24"/>
        <v/>
      </c>
      <c r="AJ92" s="254" t="str">
        <f t="shared" si="24"/>
        <v/>
      </c>
      <c r="AK92" s="254" t="str">
        <f t="shared" si="24"/>
        <v/>
      </c>
      <c r="AL92" s="254" t="str">
        <f t="shared" si="24"/>
        <v/>
      </c>
      <c r="AM92" s="254" t="str">
        <f t="shared" si="24"/>
        <v/>
      </c>
      <c r="AN92" s="254" t="str">
        <f t="shared" si="24"/>
        <v/>
      </c>
      <c r="AO92" s="254" t="str">
        <f t="shared" si="24"/>
        <v>Y</v>
      </c>
      <c r="AP92" s="254"/>
      <c r="AQ92" s="254" t="str">
        <f t="shared" si="24"/>
        <v xml:space="preserve">Solar share 10-20 % (used 15%). AddInv: Control unit that facilitates the operation </v>
      </c>
      <c r="AR92" s="205"/>
      <c r="AS92" s="205"/>
      <c r="AT92" s="205"/>
    </row>
    <row r="93" spans="1:46" s="173" customFormat="1" x14ac:dyDescent="0.2">
      <c r="A93" s="202" t="s">
        <v>799</v>
      </c>
      <c r="B93" s="201" t="str">
        <f>B91&amp;"-"&amp;RIGHT(F93,3)&amp;"spl"</f>
        <v>R_ES-SH-SD_GAS02-BIOspl</v>
      </c>
      <c r="C93" s="203" t="s">
        <v>592</v>
      </c>
      <c r="D93" s="203" t="s">
        <v>438</v>
      </c>
      <c r="E93" s="190" t="str">
        <f t="shared" si="23"/>
        <v>HOB-wood</v>
      </c>
      <c r="F93" s="254" t="str">
        <f t="shared" si="23"/>
        <v>RSDBIO</v>
      </c>
      <c r="G93" s="254" t="str">
        <f t="shared" si="23"/>
        <v/>
      </c>
      <c r="H93" s="201" t="s">
        <v>400</v>
      </c>
      <c r="I93" s="205"/>
      <c r="J93" s="205"/>
      <c r="K93" s="254">
        <f t="shared" si="24"/>
        <v>20</v>
      </c>
      <c r="L93" s="255">
        <f t="shared" si="24"/>
        <v>4200</v>
      </c>
      <c r="M93" s="255">
        <f t="shared" si="24"/>
        <v>4200</v>
      </c>
      <c r="N93" s="255">
        <f t="shared" si="24"/>
        <v>5100</v>
      </c>
      <c r="O93" s="255">
        <f t="shared" si="24"/>
        <v>5100</v>
      </c>
      <c r="P93" s="255">
        <f t="shared" si="24"/>
        <v>5100</v>
      </c>
      <c r="Q93" s="255">
        <f t="shared" si="24"/>
        <v>1</v>
      </c>
      <c r="R93" s="254" t="str">
        <f t="shared" si="24"/>
        <v/>
      </c>
      <c r="S93" s="256">
        <f t="shared" si="24"/>
        <v>0.65</v>
      </c>
      <c r="T93" s="256">
        <f t="shared" si="24"/>
        <v>0.7</v>
      </c>
      <c r="U93" s="256">
        <f t="shared" si="24"/>
        <v>0.75</v>
      </c>
      <c r="V93" s="256">
        <f t="shared" si="24"/>
        <v>0.75</v>
      </c>
      <c r="W93" s="256">
        <f t="shared" si="24"/>
        <v>0.75</v>
      </c>
      <c r="X93" s="254" t="str">
        <f t="shared" si="24"/>
        <v/>
      </c>
      <c r="Y93" s="254" t="str">
        <f t="shared" si="24"/>
        <v/>
      </c>
      <c r="Z93" s="254" t="str">
        <f t="shared" si="24"/>
        <v/>
      </c>
      <c r="AA93" s="254" t="str">
        <f t="shared" si="24"/>
        <v/>
      </c>
      <c r="AB93" s="254" t="str">
        <f t="shared" si="24"/>
        <v/>
      </c>
      <c r="AC93" s="254" t="str">
        <f t="shared" si="24"/>
        <v/>
      </c>
      <c r="AD93" s="254" t="str">
        <f t="shared" si="24"/>
        <v/>
      </c>
      <c r="AE93" s="196">
        <f t="shared" si="24"/>
        <v>0.4</v>
      </c>
      <c r="AF93" s="196" t="str">
        <f t="shared" si="24"/>
        <v/>
      </c>
      <c r="AG93" s="196" t="str">
        <f t="shared" si="24"/>
        <v/>
      </c>
      <c r="AH93" s="254" t="str">
        <f t="shared" si="24"/>
        <v/>
      </c>
      <c r="AI93" s="254" t="str">
        <f t="shared" si="24"/>
        <v/>
      </c>
      <c r="AJ93" s="254" t="str">
        <f t="shared" si="24"/>
        <v/>
      </c>
      <c r="AK93" s="254" t="str">
        <f t="shared" si="24"/>
        <v/>
      </c>
      <c r="AL93" s="254" t="str">
        <f t="shared" si="24"/>
        <v/>
      </c>
      <c r="AM93" s="254" t="str">
        <f t="shared" si="24"/>
        <v/>
      </c>
      <c r="AN93" s="254" t="str">
        <f t="shared" si="24"/>
        <v/>
      </c>
      <c r="AO93" s="254" t="str">
        <f t="shared" si="24"/>
        <v>Y</v>
      </c>
      <c r="AP93" s="254"/>
      <c r="AQ93" s="254" t="str">
        <f t="shared" ref="AQ93" si="25">IF(AQ11="","",AQ11)</f>
        <v>Added Storage costs (add. inv.)</v>
      </c>
      <c r="AR93" s="205"/>
      <c r="AS93" s="205"/>
      <c r="AT93" s="205"/>
    </row>
    <row r="94" spans="1:46" s="173" customFormat="1" x14ac:dyDescent="0.2">
      <c r="A94" s="204" t="s">
        <v>567</v>
      </c>
      <c r="B94" s="205" t="s">
        <v>708</v>
      </c>
      <c r="C94" s="205" t="s">
        <v>594</v>
      </c>
      <c r="D94" s="205" t="s">
        <v>438</v>
      </c>
      <c r="E94" s="190" t="str">
        <f t="shared" si="23"/>
        <v>HOB-biomass</v>
      </c>
      <c r="F94" s="254" t="str">
        <f t="shared" si="23"/>
        <v>RSDBIO</v>
      </c>
      <c r="G94" s="254" t="str">
        <f t="shared" si="23"/>
        <v/>
      </c>
      <c r="H94" s="205" t="s">
        <v>704</v>
      </c>
      <c r="I94" s="205"/>
      <c r="J94" s="205"/>
      <c r="K94" s="254">
        <f t="shared" ref="K94:AQ101" si="26">IF(K12="","",K12)</f>
        <v>20</v>
      </c>
      <c r="L94" s="255">
        <f t="shared" si="26"/>
        <v>16550</v>
      </c>
      <c r="M94" s="255">
        <f t="shared" si="26"/>
        <v>16550</v>
      </c>
      <c r="N94" s="255">
        <f t="shared" si="26"/>
        <v>17720</v>
      </c>
      <c r="O94" s="255">
        <f t="shared" si="26"/>
        <v>17720</v>
      </c>
      <c r="P94" s="255">
        <f t="shared" si="26"/>
        <v>17720</v>
      </c>
      <c r="Q94" s="255">
        <f t="shared" si="26"/>
        <v>470.58823529411768</v>
      </c>
      <c r="R94" s="254" t="str">
        <f t="shared" si="26"/>
        <v/>
      </c>
      <c r="S94" s="256">
        <f t="shared" si="26"/>
        <v>0.67308496185599331</v>
      </c>
      <c r="T94" s="256">
        <f t="shared" si="26"/>
        <v>0.67308496185599331</v>
      </c>
      <c r="U94" s="256">
        <f t="shared" si="26"/>
        <v>0.67308496185599331</v>
      </c>
      <c r="V94" s="256">
        <f t="shared" si="26"/>
        <v>0.67308496185599331</v>
      </c>
      <c r="W94" s="256">
        <f t="shared" si="26"/>
        <v>0.67308496185599331</v>
      </c>
      <c r="X94" s="254" t="str">
        <f t="shared" si="26"/>
        <v/>
      </c>
      <c r="Y94" s="254" t="str">
        <f t="shared" si="26"/>
        <v/>
      </c>
      <c r="Z94" s="254" t="str">
        <f t="shared" si="26"/>
        <v/>
      </c>
      <c r="AA94" s="254" t="str">
        <f t="shared" si="26"/>
        <v/>
      </c>
      <c r="AB94" s="254" t="str">
        <f t="shared" si="26"/>
        <v/>
      </c>
      <c r="AC94" s="254" t="str">
        <f t="shared" si="26"/>
        <v/>
      </c>
      <c r="AD94" s="254" t="str">
        <f t="shared" si="26"/>
        <v/>
      </c>
      <c r="AE94" s="196">
        <f t="shared" si="26"/>
        <v>1</v>
      </c>
      <c r="AF94" s="196">
        <f t="shared" si="26"/>
        <v>1</v>
      </c>
      <c r="AG94" s="196" t="str">
        <f t="shared" si="26"/>
        <v/>
      </c>
      <c r="AH94" s="254" t="str">
        <f t="shared" si="26"/>
        <v/>
      </c>
      <c r="AI94" s="254" t="str">
        <f t="shared" si="26"/>
        <v/>
      </c>
      <c r="AJ94" s="254" t="str">
        <f t="shared" si="26"/>
        <v/>
      </c>
      <c r="AK94" s="254" t="str">
        <f t="shared" si="26"/>
        <v/>
      </c>
      <c r="AL94" s="254" t="str">
        <f t="shared" si="26"/>
        <v/>
      </c>
      <c r="AM94" s="254" t="str">
        <f t="shared" si="26"/>
        <v/>
      </c>
      <c r="AN94" s="254" t="str">
        <f t="shared" si="26"/>
        <v/>
      </c>
      <c r="AO94" s="254" t="str">
        <f t="shared" si="26"/>
        <v>Y</v>
      </c>
      <c r="AP94" s="254"/>
      <c r="AQ94" s="254" t="str">
        <f t="shared" si="26"/>
        <v>Added Storage costs (add. inv.)</v>
      </c>
      <c r="AR94" s="205"/>
      <c r="AS94" s="205"/>
      <c r="AT94" s="205"/>
    </row>
    <row r="95" spans="1:46" s="175" customFormat="1" x14ac:dyDescent="0.2">
      <c r="A95" s="206" t="s">
        <v>567</v>
      </c>
      <c r="B95" s="206" t="s">
        <v>709</v>
      </c>
      <c r="C95" s="206" t="s">
        <v>598</v>
      </c>
      <c r="D95" s="206" t="s">
        <v>438</v>
      </c>
      <c r="E95" s="191" t="str">
        <f t="shared" si="23"/>
        <v>Electric_electric boiler</v>
      </c>
      <c r="F95" s="257" t="str">
        <f t="shared" si="23"/>
        <v>RSDELC</v>
      </c>
      <c r="G95" s="257" t="str">
        <f t="shared" si="23"/>
        <v/>
      </c>
      <c r="H95" s="206" t="s">
        <v>704</v>
      </c>
      <c r="I95" s="206"/>
      <c r="J95" s="206"/>
      <c r="K95" s="257">
        <f t="shared" si="26"/>
        <v>15</v>
      </c>
      <c r="L95" s="258">
        <f t="shared" si="26"/>
        <v>4000</v>
      </c>
      <c r="M95" s="258">
        <f t="shared" si="26"/>
        <v>4000</v>
      </c>
      <c r="N95" s="258">
        <f t="shared" si="26"/>
        <v>4000</v>
      </c>
      <c r="O95" s="258">
        <f t="shared" si="26"/>
        <v>4000</v>
      </c>
      <c r="P95" s="258">
        <f t="shared" si="26"/>
        <v>4000</v>
      </c>
      <c r="Q95" s="258">
        <f t="shared" si="26"/>
        <v>10</v>
      </c>
      <c r="R95" s="257" t="str">
        <f t="shared" si="26"/>
        <v/>
      </c>
      <c r="S95" s="259">
        <f t="shared" si="26"/>
        <v>1</v>
      </c>
      <c r="T95" s="259" t="str">
        <f t="shared" si="26"/>
        <v/>
      </c>
      <c r="U95" s="259" t="str">
        <f t="shared" si="26"/>
        <v/>
      </c>
      <c r="V95" s="259" t="str">
        <f t="shared" si="26"/>
        <v/>
      </c>
      <c r="W95" s="259" t="str">
        <f t="shared" si="26"/>
        <v/>
      </c>
      <c r="X95" s="257" t="str">
        <f t="shared" si="26"/>
        <v/>
      </c>
      <c r="Y95" s="257" t="str">
        <f t="shared" si="26"/>
        <v/>
      </c>
      <c r="Z95" s="257" t="str">
        <f t="shared" si="26"/>
        <v/>
      </c>
      <c r="AA95" s="257" t="str">
        <f t="shared" si="26"/>
        <v/>
      </c>
      <c r="AB95" s="257" t="str">
        <f t="shared" si="26"/>
        <v/>
      </c>
      <c r="AC95" s="257" t="str">
        <f t="shared" si="26"/>
        <v/>
      </c>
      <c r="AD95" s="257" t="str">
        <f t="shared" si="26"/>
        <v/>
      </c>
      <c r="AE95" s="197">
        <f t="shared" si="26"/>
        <v>1</v>
      </c>
      <c r="AF95" s="197">
        <f t="shared" si="26"/>
        <v>1</v>
      </c>
      <c r="AG95" s="197" t="str">
        <f t="shared" si="26"/>
        <v/>
      </c>
      <c r="AH95" s="257" t="str">
        <f t="shared" si="26"/>
        <v/>
      </c>
      <c r="AI95" s="257" t="str">
        <f t="shared" si="26"/>
        <v/>
      </c>
      <c r="AJ95" s="257" t="str">
        <f t="shared" si="26"/>
        <v/>
      </c>
      <c r="AK95" s="257" t="str">
        <f t="shared" si="26"/>
        <v/>
      </c>
      <c r="AL95" s="257" t="str">
        <f t="shared" si="26"/>
        <v/>
      </c>
      <c r="AM95" s="257" t="str">
        <f t="shared" si="26"/>
        <v/>
      </c>
      <c r="AN95" s="257" t="str">
        <f t="shared" si="26"/>
        <v/>
      </c>
      <c r="AO95" s="257" t="str">
        <f t="shared" si="26"/>
        <v/>
      </c>
      <c r="AP95" s="257"/>
      <c r="AQ95" s="257" t="str">
        <f t="shared" si="26"/>
        <v>Include both room heaters and hot tap water preparation</v>
      </c>
      <c r="AR95" s="206"/>
      <c r="AS95" s="206"/>
      <c r="AT95" s="206"/>
    </row>
    <row r="96" spans="1:46" s="173" customFormat="1" x14ac:dyDescent="0.2">
      <c r="A96" s="207" t="s">
        <v>601</v>
      </c>
      <c r="B96" s="203" t="s">
        <v>710</v>
      </c>
      <c r="C96" s="203" t="s">
        <v>603</v>
      </c>
      <c r="D96" s="203" t="s">
        <v>438</v>
      </c>
      <c r="E96" s="190" t="str">
        <f t="shared" si="23"/>
        <v>HP-e-air-to-air</v>
      </c>
      <c r="F96" s="254" t="str">
        <f t="shared" si="23"/>
        <v>RSDELC</v>
      </c>
      <c r="G96" s="254" t="str">
        <f t="shared" si="23"/>
        <v>RSDAHT</v>
      </c>
      <c r="H96" s="203" t="s">
        <v>711</v>
      </c>
      <c r="I96" s="205"/>
      <c r="J96" s="205"/>
      <c r="K96" s="254">
        <f t="shared" si="26"/>
        <v>20</v>
      </c>
      <c r="L96" s="255">
        <f t="shared" si="26"/>
        <v>15389</v>
      </c>
      <c r="M96" s="255">
        <f t="shared" si="26"/>
        <v>14619.55</v>
      </c>
      <c r="N96" s="255">
        <f t="shared" si="26"/>
        <v>13234.54</v>
      </c>
      <c r="O96" s="255">
        <f t="shared" si="26"/>
        <v>12618.98</v>
      </c>
      <c r="P96" s="255">
        <f t="shared" si="26"/>
        <v>12618.98</v>
      </c>
      <c r="Q96" s="255">
        <f t="shared" si="26"/>
        <v>300</v>
      </c>
      <c r="R96" s="254" t="str">
        <f t="shared" si="26"/>
        <v/>
      </c>
      <c r="S96" s="260">
        <f t="shared" si="26"/>
        <v>3</v>
      </c>
      <c r="T96" s="260">
        <f t="shared" si="26"/>
        <v>3.2</v>
      </c>
      <c r="U96" s="260">
        <f t="shared" si="26"/>
        <v>3.7</v>
      </c>
      <c r="V96" s="260">
        <f t="shared" si="26"/>
        <v>4</v>
      </c>
      <c r="W96" s="260">
        <f t="shared" si="26"/>
        <v>4</v>
      </c>
      <c r="X96" s="254" t="str">
        <f t="shared" si="26"/>
        <v/>
      </c>
      <c r="Y96" s="254" t="str">
        <f t="shared" si="26"/>
        <v/>
      </c>
      <c r="Z96" s="254" t="str">
        <f t="shared" si="26"/>
        <v/>
      </c>
      <c r="AA96" s="254" t="str">
        <f t="shared" si="26"/>
        <v/>
      </c>
      <c r="AB96" s="254" t="str">
        <f t="shared" si="26"/>
        <v/>
      </c>
      <c r="AC96" s="254" t="str">
        <f t="shared" si="26"/>
        <v/>
      </c>
      <c r="AD96" s="254" t="str">
        <f t="shared" si="26"/>
        <v/>
      </c>
      <c r="AE96" s="196">
        <f t="shared" si="26"/>
        <v>0.7</v>
      </c>
      <c r="AF96" s="196" t="str">
        <f t="shared" si="26"/>
        <v/>
      </c>
      <c r="AG96" s="196" t="str">
        <f t="shared" si="26"/>
        <v/>
      </c>
      <c r="AH96" s="254" t="str">
        <f t="shared" si="26"/>
        <v/>
      </c>
      <c r="AI96" s="254" t="str">
        <f t="shared" si="26"/>
        <v/>
      </c>
      <c r="AJ96" s="254" t="str">
        <f t="shared" si="26"/>
        <v/>
      </c>
      <c r="AK96" s="254" t="str">
        <f t="shared" si="26"/>
        <v/>
      </c>
      <c r="AL96" s="254" t="str">
        <f t="shared" si="26"/>
        <v/>
      </c>
      <c r="AM96" s="254" t="str">
        <f t="shared" si="26"/>
        <v/>
      </c>
      <c r="AN96" s="254" t="str">
        <f t="shared" si="26"/>
        <v/>
      </c>
      <c r="AO96" s="254" t="str">
        <f t="shared" si="26"/>
        <v>Y</v>
      </c>
      <c r="AP96" s="254"/>
      <c r="AQ96" s="254" t="str">
        <f t="shared" si="26"/>
        <v>HP covers between 60 % and 80 % of the total space heating demand of a building</v>
      </c>
      <c r="AR96" s="205"/>
      <c r="AS96" s="205"/>
      <c r="AT96" s="205"/>
    </row>
    <row r="97" spans="1:46" s="173" customFormat="1" x14ac:dyDescent="0.2">
      <c r="A97" s="202" t="s">
        <v>799</v>
      </c>
      <c r="B97" s="201" t="str">
        <f>B96&amp;"-"&amp;RIGHT(F97,3)&amp;"spl"</f>
        <v>R_ES-SH-SD_ELC02-ELCspl</v>
      </c>
      <c r="C97" s="203" t="s">
        <v>607</v>
      </c>
      <c r="D97" s="203" t="s">
        <v>438</v>
      </c>
      <c r="E97" s="190" t="str">
        <f t="shared" si="23"/>
        <v>Electric_electric boiler</v>
      </c>
      <c r="F97" s="254" t="str">
        <f t="shared" si="23"/>
        <v>RSDELC</v>
      </c>
      <c r="G97" s="254" t="str">
        <f t="shared" si="23"/>
        <v/>
      </c>
      <c r="H97" s="203" t="s">
        <v>704</v>
      </c>
      <c r="I97" s="205"/>
      <c r="J97" s="205"/>
      <c r="K97" s="254">
        <f t="shared" si="26"/>
        <v>15</v>
      </c>
      <c r="L97" s="255">
        <f t="shared" si="26"/>
        <v>3039.5388059701486</v>
      </c>
      <c r="M97" s="255">
        <f t="shared" si="26"/>
        <v>3039.5388059701486</v>
      </c>
      <c r="N97" s="255">
        <f t="shared" si="26"/>
        <v>3039.5388059701486</v>
      </c>
      <c r="O97" s="255">
        <f t="shared" si="26"/>
        <v>3039.5388059701486</v>
      </c>
      <c r="P97" s="255">
        <f t="shared" si="26"/>
        <v>3039.5388059701486</v>
      </c>
      <c r="Q97" s="255">
        <f t="shared" si="26"/>
        <v>55</v>
      </c>
      <c r="R97" s="254" t="str">
        <f t="shared" si="26"/>
        <v/>
      </c>
      <c r="S97" s="260">
        <f t="shared" si="26"/>
        <v>1</v>
      </c>
      <c r="T97" s="260">
        <f t="shared" si="26"/>
        <v>1</v>
      </c>
      <c r="U97" s="260">
        <f t="shared" si="26"/>
        <v>1</v>
      </c>
      <c r="V97" s="260">
        <f t="shared" si="26"/>
        <v>1</v>
      </c>
      <c r="W97" s="260">
        <f t="shared" si="26"/>
        <v>1</v>
      </c>
      <c r="X97" s="254" t="str">
        <f t="shared" si="26"/>
        <v/>
      </c>
      <c r="Y97" s="254" t="str">
        <f t="shared" si="26"/>
        <v/>
      </c>
      <c r="Z97" s="254" t="str">
        <f t="shared" si="26"/>
        <v/>
      </c>
      <c r="AA97" s="254" t="str">
        <f t="shared" si="26"/>
        <v/>
      </c>
      <c r="AB97" s="254" t="str">
        <f t="shared" si="26"/>
        <v/>
      </c>
      <c r="AC97" s="254" t="str">
        <f t="shared" si="26"/>
        <v/>
      </c>
      <c r="AD97" s="254" t="str">
        <f t="shared" si="26"/>
        <v/>
      </c>
      <c r="AE97" s="196">
        <f t="shared" si="26"/>
        <v>0.3</v>
      </c>
      <c r="AF97" s="196">
        <f t="shared" si="26"/>
        <v>1</v>
      </c>
      <c r="AG97" s="196" t="str">
        <f t="shared" si="26"/>
        <v/>
      </c>
      <c r="AH97" s="254" t="str">
        <f t="shared" si="26"/>
        <v/>
      </c>
      <c r="AI97" s="254" t="str">
        <f t="shared" si="26"/>
        <v/>
      </c>
      <c r="AJ97" s="254" t="str">
        <f t="shared" si="26"/>
        <v/>
      </c>
      <c r="AK97" s="254" t="str">
        <f t="shared" si="26"/>
        <v/>
      </c>
      <c r="AL97" s="254" t="str">
        <f t="shared" si="26"/>
        <v/>
      </c>
      <c r="AM97" s="254" t="str">
        <f t="shared" si="26"/>
        <v/>
      </c>
      <c r="AN97" s="254" t="str">
        <f t="shared" si="26"/>
        <v/>
      </c>
      <c r="AO97" s="254" t="str">
        <f t="shared" si="26"/>
        <v/>
      </c>
      <c r="AP97" s="254"/>
      <c r="AQ97" s="254" t="str">
        <f t="shared" si="26"/>
        <v xml:space="preserve">AddInv: shunt-valve. </v>
      </c>
      <c r="AR97" s="205"/>
      <c r="AS97" s="205"/>
      <c r="AT97" s="205"/>
    </row>
    <row r="98" spans="1:46" s="173" customFormat="1" x14ac:dyDescent="0.2">
      <c r="A98" s="202" t="s">
        <v>799</v>
      </c>
      <c r="B98" s="201" t="str">
        <f>B96&amp;"-"&amp;RIGHT(F98,3)&amp;"spl"</f>
        <v>R_ES-SH-SD_ELC02-GASspl</v>
      </c>
      <c r="C98" s="203" t="s">
        <v>609</v>
      </c>
      <c r="D98" s="203" t="s">
        <v>438</v>
      </c>
      <c r="E98" s="190" t="str">
        <f t="shared" si="23"/>
        <v>HOB-gas</v>
      </c>
      <c r="F98" s="254" t="str">
        <f t="shared" si="23"/>
        <v>RSDLPG, RSDBGS, RSDGAS</v>
      </c>
      <c r="G98" s="254" t="str">
        <f t="shared" si="23"/>
        <v/>
      </c>
      <c r="H98" s="203" t="s">
        <v>704</v>
      </c>
      <c r="I98" s="205"/>
      <c r="J98" s="205"/>
      <c r="K98" s="254">
        <f t="shared" si="26"/>
        <v>22</v>
      </c>
      <c r="L98" s="255">
        <f t="shared" si="26"/>
        <v>5348.0999999999985</v>
      </c>
      <c r="M98" s="255">
        <f t="shared" si="26"/>
        <v>5348.0999999999985</v>
      </c>
      <c r="N98" s="255">
        <f t="shared" si="26"/>
        <v>5348.0999999999985</v>
      </c>
      <c r="O98" s="255">
        <f t="shared" si="26"/>
        <v>5348.0999999999985</v>
      </c>
      <c r="P98" s="255">
        <f t="shared" si="26"/>
        <v>5348.0999999999985</v>
      </c>
      <c r="Q98" s="255">
        <f t="shared" si="26"/>
        <v>113</v>
      </c>
      <c r="R98" s="254" t="str">
        <f t="shared" si="26"/>
        <v/>
      </c>
      <c r="S98" s="260">
        <f t="shared" si="26"/>
        <v>0.84679858006836706</v>
      </c>
      <c r="T98" s="260">
        <f t="shared" si="26"/>
        <v>0.84679858006836706</v>
      </c>
      <c r="U98" s="260">
        <f t="shared" si="26"/>
        <v>0.84679858006836706</v>
      </c>
      <c r="V98" s="260">
        <f t="shared" si="26"/>
        <v>0.84679858006836706</v>
      </c>
      <c r="W98" s="260">
        <f t="shared" si="26"/>
        <v>0.84679858006836706</v>
      </c>
      <c r="X98" s="254" t="str">
        <f t="shared" si="26"/>
        <v/>
      </c>
      <c r="Y98" s="254" t="str">
        <f t="shared" si="26"/>
        <v/>
      </c>
      <c r="Z98" s="254" t="str">
        <f t="shared" si="26"/>
        <v/>
      </c>
      <c r="AA98" s="254" t="str">
        <f t="shared" si="26"/>
        <v/>
      </c>
      <c r="AB98" s="254" t="str">
        <f t="shared" si="26"/>
        <v/>
      </c>
      <c r="AC98" s="254" t="str">
        <f t="shared" si="26"/>
        <v/>
      </c>
      <c r="AD98" s="254" t="str">
        <f t="shared" si="26"/>
        <v/>
      </c>
      <c r="AE98" s="196">
        <f t="shared" si="26"/>
        <v>0.3</v>
      </c>
      <c r="AF98" s="196">
        <f t="shared" si="26"/>
        <v>1</v>
      </c>
      <c r="AG98" s="196" t="str">
        <f t="shared" si="26"/>
        <v/>
      </c>
      <c r="AH98" s="254" t="str">
        <f t="shared" si="26"/>
        <v/>
      </c>
      <c r="AI98" s="254" t="str">
        <f t="shared" si="26"/>
        <v/>
      </c>
      <c r="AJ98" s="254" t="str">
        <f t="shared" si="26"/>
        <v/>
      </c>
      <c r="AK98" s="254" t="str">
        <f t="shared" si="26"/>
        <v/>
      </c>
      <c r="AL98" s="254" t="str">
        <f t="shared" si="26"/>
        <v/>
      </c>
      <c r="AM98" s="254" t="str">
        <f t="shared" si="26"/>
        <v/>
      </c>
      <c r="AN98" s="254" t="str">
        <f t="shared" si="26"/>
        <v/>
      </c>
      <c r="AO98" s="254" t="str">
        <f t="shared" si="26"/>
        <v>Y</v>
      </c>
      <c r="AP98" s="254"/>
      <c r="AQ98" s="254" t="str">
        <f t="shared" si="26"/>
        <v xml:space="preserve">AddInv: shunt-valve. </v>
      </c>
      <c r="AR98" s="205"/>
      <c r="AS98" s="205"/>
      <c r="AT98" s="205"/>
    </row>
    <row r="99" spans="1:46" s="173" customFormat="1" x14ac:dyDescent="0.2">
      <c r="A99" s="202" t="s">
        <v>799</v>
      </c>
      <c r="B99" s="201" t="str">
        <f>B96&amp;"-"&amp;RIGHT(F99,3)&amp;"spl"</f>
        <v>R_ES-SH-SD_ELC02-BIOspl</v>
      </c>
      <c r="C99" s="203" t="s">
        <v>611</v>
      </c>
      <c r="D99" s="203" t="s">
        <v>438</v>
      </c>
      <c r="E99" s="190" t="str">
        <f t="shared" si="23"/>
        <v>HOB-biomass</v>
      </c>
      <c r="F99" s="254" t="str">
        <f t="shared" si="23"/>
        <v>RSDBIO</v>
      </c>
      <c r="G99" s="254" t="str">
        <f t="shared" si="23"/>
        <v/>
      </c>
      <c r="H99" s="203" t="s">
        <v>704</v>
      </c>
      <c r="I99" s="205"/>
      <c r="J99" s="205"/>
      <c r="K99" s="254">
        <f t="shared" si="26"/>
        <v>20</v>
      </c>
      <c r="L99" s="255">
        <f t="shared" si="26"/>
        <v>10328.099999999999</v>
      </c>
      <c r="M99" s="255">
        <f t="shared" si="26"/>
        <v>10328.099999999999</v>
      </c>
      <c r="N99" s="255">
        <f t="shared" si="26"/>
        <v>11257.629000000001</v>
      </c>
      <c r="O99" s="255">
        <f t="shared" si="26"/>
        <v>11257.629000000001</v>
      </c>
      <c r="P99" s="255">
        <f t="shared" si="26"/>
        <v>11257.629000000001</v>
      </c>
      <c r="Q99" s="255">
        <f t="shared" si="26"/>
        <v>136.14999999999998</v>
      </c>
      <c r="R99" s="254" t="str">
        <f t="shared" si="26"/>
        <v/>
      </c>
      <c r="S99" s="260">
        <f t="shared" si="26"/>
        <v>0.67308496185599331</v>
      </c>
      <c r="T99" s="260">
        <f t="shared" si="26"/>
        <v>0.67308496185599331</v>
      </c>
      <c r="U99" s="260">
        <f t="shared" si="26"/>
        <v>0.67308496185599331</v>
      </c>
      <c r="V99" s="260">
        <f t="shared" si="26"/>
        <v>0.67308496185599331</v>
      </c>
      <c r="W99" s="260">
        <f t="shared" si="26"/>
        <v>0.67308496185599331</v>
      </c>
      <c r="X99" s="254" t="str">
        <f t="shared" si="26"/>
        <v/>
      </c>
      <c r="Y99" s="254" t="str">
        <f t="shared" si="26"/>
        <v/>
      </c>
      <c r="Z99" s="254" t="str">
        <f t="shared" si="26"/>
        <v/>
      </c>
      <c r="AA99" s="254" t="str">
        <f t="shared" si="26"/>
        <v/>
      </c>
      <c r="AB99" s="254" t="str">
        <f t="shared" si="26"/>
        <v/>
      </c>
      <c r="AC99" s="254" t="str">
        <f t="shared" si="26"/>
        <v/>
      </c>
      <c r="AD99" s="254" t="str">
        <f t="shared" si="26"/>
        <v/>
      </c>
      <c r="AE99" s="196">
        <f t="shared" si="26"/>
        <v>0.3</v>
      </c>
      <c r="AF99" s="196">
        <f t="shared" si="26"/>
        <v>1</v>
      </c>
      <c r="AG99" s="196" t="str">
        <f t="shared" si="26"/>
        <v/>
      </c>
      <c r="AH99" s="254" t="str">
        <f t="shared" si="26"/>
        <v/>
      </c>
      <c r="AI99" s="254" t="str">
        <f t="shared" si="26"/>
        <v/>
      </c>
      <c r="AJ99" s="254" t="str">
        <f t="shared" si="26"/>
        <v/>
      </c>
      <c r="AK99" s="254" t="str">
        <f t="shared" si="26"/>
        <v/>
      </c>
      <c r="AL99" s="254" t="str">
        <f t="shared" si="26"/>
        <v/>
      </c>
      <c r="AM99" s="254" t="str">
        <f t="shared" si="26"/>
        <v/>
      </c>
      <c r="AN99" s="254" t="str">
        <f t="shared" si="26"/>
        <v/>
      </c>
      <c r="AO99" s="254" t="str">
        <f t="shared" si="26"/>
        <v>Y</v>
      </c>
      <c r="AP99" s="254"/>
      <c r="AQ99" s="254" t="str">
        <f t="shared" si="26"/>
        <v xml:space="preserve">AddInv: shunt-valve. </v>
      </c>
      <c r="AR99" s="205"/>
      <c r="AS99" s="205"/>
      <c r="AT99" s="205"/>
    </row>
    <row r="100" spans="1:46" s="173" customFormat="1" x14ac:dyDescent="0.2">
      <c r="A100" s="202" t="s">
        <v>799</v>
      </c>
      <c r="B100" s="201" t="str">
        <f>B96&amp;"-"&amp;RIGHT(F100,3)&amp;"spl"</f>
        <v>R_ES-SH-SD_ELC02-SOLspl</v>
      </c>
      <c r="C100" s="203" t="s">
        <v>612</v>
      </c>
      <c r="D100" s="203" t="s">
        <v>438</v>
      </c>
      <c r="E100" s="190" t="str">
        <f t="shared" si="23"/>
        <v>Solar heating and hot tap water</v>
      </c>
      <c r="F100" s="254" t="str">
        <f t="shared" si="23"/>
        <v>RSDSOL</v>
      </c>
      <c r="G100" s="254" t="str">
        <f t="shared" si="23"/>
        <v/>
      </c>
      <c r="H100" s="203" t="s">
        <v>704</v>
      </c>
      <c r="I100" s="205"/>
      <c r="J100" s="205"/>
      <c r="K100" s="254">
        <f t="shared" si="26"/>
        <v>20</v>
      </c>
      <c r="L100" s="255">
        <f t="shared" si="26"/>
        <v>4396.5999999999985</v>
      </c>
      <c r="M100" s="255">
        <f t="shared" si="26"/>
        <v>5027.2139999999981</v>
      </c>
      <c r="N100" s="255">
        <f t="shared" si="26"/>
        <v>4759.8089999999984</v>
      </c>
      <c r="O100" s="255">
        <f t="shared" si="26"/>
        <v>3583.2269999999985</v>
      </c>
      <c r="P100" s="255">
        <f t="shared" si="26"/>
        <v>3583.2269999999985</v>
      </c>
      <c r="Q100" s="255">
        <f t="shared" si="26"/>
        <v>61</v>
      </c>
      <c r="R100" s="254" t="str">
        <f t="shared" si="26"/>
        <v/>
      </c>
      <c r="S100" s="260">
        <f t="shared" si="26"/>
        <v>1</v>
      </c>
      <c r="T100" s="260">
        <f t="shared" si="26"/>
        <v>1</v>
      </c>
      <c r="U100" s="260">
        <f t="shared" si="26"/>
        <v>1</v>
      </c>
      <c r="V100" s="260">
        <f t="shared" si="26"/>
        <v>1</v>
      </c>
      <c r="W100" s="260">
        <f t="shared" si="26"/>
        <v>1</v>
      </c>
      <c r="X100" s="254" t="str">
        <f t="shared" si="26"/>
        <v/>
      </c>
      <c r="Y100" s="254" t="str">
        <f t="shared" si="26"/>
        <v/>
      </c>
      <c r="Z100" s="254" t="str">
        <f t="shared" si="26"/>
        <v/>
      </c>
      <c r="AA100" s="254" t="str">
        <f t="shared" si="26"/>
        <v/>
      </c>
      <c r="AB100" s="254" t="str">
        <f t="shared" si="26"/>
        <v/>
      </c>
      <c r="AC100" s="254" t="str">
        <f t="shared" si="26"/>
        <v/>
      </c>
      <c r="AD100" s="254" t="str">
        <f t="shared" si="26"/>
        <v/>
      </c>
      <c r="AE100" s="196">
        <f t="shared" si="26"/>
        <v>0.3</v>
      </c>
      <c r="AF100" s="196">
        <f t="shared" si="26"/>
        <v>1</v>
      </c>
      <c r="AG100" s="196" t="str">
        <f t="shared" si="26"/>
        <v/>
      </c>
      <c r="AH100" s="254" t="str">
        <f t="shared" si="26"/>
        <v/>
      </c>
      <c r="AI100" s="254" t="str">
        <f t="shared" si="26"/>
        <v/>
      </c>
      <c r="AJ100" s="254" t="str">
        <f t="shared" si="26"/>
        <v/>
      </c>
      <c r="AK100" s="254" t="str">
        <f t="shared" si="26"/>
        <v/>
      </c>
      <c r="AL100" s="254" t="str">
        <f t="shared" si="26"/>
        <v/>
      </c>
      <c r="AM100" s="254" t="str">
        <f t="shared" si="26"/>
        <v/>
      </c>
      <c r="AN100" s="254" t="str">
        <f t="shared" si="26"/>
        <v/>
      </c>
      <c r="AO100" s="254" t="str">
        <f t="shared" si="26"/>
        <v/>
      </c>
      <c r="AP100" s="254"/>
      <c r="AQ100" s="254" t="str">
        <f t="shared" si="26"/>
        <v xml:space="preserve">AddInv: shunt-valve. </v>
      </c>
      <c r="AR100" s="205"/>
      <c r="AS100" s="205"/>
      <c r="AT100" s="205"/>
    </row>
    <row r="101" spans="1:46" s="173" customFormat="1" x14ac:dyDescent="0.2">
      <c r="A101" s="203" t="s">
        <v>601</v>
      </c>
      <c r="B101" s="203" t="s">
        <v>712</v>
      </c>
      <c r="C101" s="203" t="s">
        <v>614</v>
      </c>
      <c r="D101" s="203" t="s">
        <v>438</v>
      </c>
      <c r="E101" s="190" t="str">
        <f t="shared" si="23"/>
        <v>HP-e-air-to-water</v>
      </c>
      <c r="F101" s="254" t="str">
        <f t="shared" si="23"/>
        <v>RSDELC</v>
      </c>
      <c r="G101" s="254" t="str">
        <f t="shared" si="23"/>
        <v>RSDAHT</v>
      </c>
      <c r="H101" s="201" t="s">
        <v>704</v>
      </c>
      <c r="I101" s="205"/>
      <c r="J101" s="205"/>
      <c r="K101" s="254">
        <f t="shared" si="26"/>
        <v>20</v>
      </c>
      <c r="L101" s="255">
        <f t="shared" si="26"/>
        <v>15389</v>
      </c>
      <c r="M101" s="255">
        <f t="shared" si="26"/>
        <v>14003.99</v>
      </c>
      <c r="N101" s="255">
        <f t="shared" si="26"/>
        <v>14003.99</v>
      </c>
      <c r="O101" s="255">
        <f t="shared" si="26"/>
        <v>12618.98</v>
      </c>
      <c r="P101" s="255">
        <f t="shared" si="26"/>
        <v>12618.98</v>
      </c>
      <c r="Q101" s="255">
        <f t="shared" si="26"/>
        <v>246</v>
      </c>
      <c r="R101" s="254" t="str">
        <f t="shared" si="26"/>
        <v/>
      </c>
      <c r="S101" s="260">
        <f t="shared" si="26"/>
        <v>3.1</v>
      </c>
      <c r="T101" s="260">
        <f t="shared" si="26"/>
        <v>3.3</v>
      </c>
      <c r="U101" s="260">
        <f t="shared" si="26"/>
        <v>3.7</v>
      </c>
      <c r="V101" s="260">
        <f t="shared" si="26"/>
        <v>4</v>
      </c>
      <c r="W101" s="260">
        <f t="shared" si="26"/>
        <v>4</v>
      </c>
      <c r="X101" s="254" t="str">
        <f t="shared" si="26"/>
        <v/>
      </c>
      <c r="Y101" s="254" t="str">
        <f t="shared" si="26"/>
        <v/>
      </c>
      <c r="Z101" s="254" t="str">
        <f t="shared" si="26"/>
        <v/>
      </c>
      <c r="AA101" s="254" t="str">
        <f t="shared" si="26"/>
        <v/>
      </c>
      <c r="AB101" s="254" t="str">
        <f t="shared" si="26"/>
        <v/>
      </c>
      <c r="AC101" s="254" t="str">
        <f t="shared" si="26"/>
        <v/>
      </c>
      <c r="AD101" s="254" t="str">
        <f t="shared" si="26"/>
        <v/>
      </c>
      <c r="AE101" s="196">
        <f t="shared" si="26"/>
        <v>1</v>
      </c>
      <c r="AF101" s="196">
        <f t="shared" si="26"/>
        <v>1</v>
      </c>
      <c r="AG101" s="196" t="str">
        <f t="shared" si="26"/>
        <v/>
      </c>
      <c r="AH101" s="254" t="str">
        <f t="shared" si="26"/>
        <v/>
      </c>
      <c r="AI101" s="254" t="str">
        <f t="shared" si="26"/>
        <v/>
      </c>
      <c r="AJ101" s="254" t="str">
        <f t="shared" si="26"/>
        <v/>
      </c>
      <c r="AK101" s="254" t="str">
        <f t="shared" si="26"/>
        <v/>
      </c>
      <c r="AL101" s="254" t="str">
        <f t="shared" si="26"/>
        <v/>
      </c>
      <c r="AM101" s="254" t="str">
        <f t="shared" si="26"/>
        <v/>
      </c>
      <c r="AN101" s="254" t="str">
        <f t="shared" si="26"/>
        <v/>
      </c>
      <c r="AO101" s="254" t="str">
        <f t="shared" si="26"/>
        <v/>
      </c>
      <c r="AP101" s="254"/>
      <c r="AQ101" s="254" t="str">
        <f t="shared" ref="AQ101" si="27">IF(AQ19="","",AQ19)</f>
        <v/>
      </c>
      <c r="AR101" s="205"/>
      <c r="AS101" s="205"/>
      <c r="AT101" s="205"/>
    </row>
    <row r="102" spans="1:46" s="173" customFormat="1" x14ac:dyDescent="0.2">
      <c r="A102" s="201" t="s">
        <v>601</v>
      </c>
      <c r="B102" s="203" t="s">
        <v>713</v>
      </c>
      <c r="C102" s="201" t="s">
        <v>616</v>
      </c>
      <c r="D102" s="201" t="s">
        <v>438</v>
      </c>
      <c r="E102" s="190" t="str">
        <f t="shared" ref="E102:G117" si="28">IF(E20="","",E20)</f>
        <v>HP-e-air-to-water + add costs</v>
      </c>
      <c r="F102" s="254" t="str">
        <f t="shared" si="28"/>
        <v>RSDELC</v>
      </c>
      <c r="G102" s="254" t="str">
        <f t="shared" si="28"/>
        <v>RSDAHT</v>
      </c>
      <c r="H102" s="201" t="s">
        <v>714</v>
      </c>
      <c r="I102" s="205"/>
      <c r="J102" s="205"/>
      <c r="K102" s="254">
        <f t="shared" ref="K102:AQ109" si="29">IF(K20="","",K20)</f>
        <v>20</v>
      </c>
      <c r="L102" s="255">
        <f t="shared" si="29"/>
        <v>16927.900000000001</v>
      </c>
      <c r="M102" s="255">
        <f t="shared" si="29"/>
        <v>15404.389000000001</v>
      </c>
      <c r="N102" s="255">
        <f t="shared" si="29"/>
        <v>15404.389000000001</v>
      </c>
      <c r="O102" s="255">
        <f t="shared" si="29"/>
        <v>13880.878000000001</v>
      </c>
      <c r="P102" s="255">
        <f t="shared" si="29"/>
        <v>13880.878000000001</v>
      </c>
      <c r="Q102" s="255">
        <f t="shared" si="29"/>
        <v>270.60000000000002</v>
      </c>
      <c r="R102" s="254" t="str">
        <f t="shared" si="29"/>
        <v/>
      </c>
      <c r="S102" s="260">
        <f t="shared" si="29"/>
        <v>3.1</v>
      </c>
      <c r="T102" s="260">
        <f t="shared" si="29"/>
        <v>3.3</v>
      </c>
      <c r="U102" s="260">
        <f t="shared" si="29"/>
        <v>3.7</v>
      </c>
      <c r="V102" s="260">
        <f t="shared" si="29"/>
        <v>4</v>
      </c>
      <c r="W102" s="260">
        <f t="shared" si="29"/>
        <v>4</v>
      </c>
      <c r="X102" s="254" t="str">
        <f t="shared" si="29"/>
        <v/>
      </c>
      <c r="Y102" s="254" t="str">
        <f t="shared" si="29"/>
        <v/>
      </c>
      <c r="Z102" s="254" t="str">
        <f t="shared" si="29"/>
        <v/>
      </c>
      <c r="AA102" s="254" t="str">
        <f t="shared" si="29"/>
        <v/>
      </c>
      <c r="AB102" s="254" t="str">
        <f t="shared" si="29"/>
        <v/>
      </c>
      <c r="AC102" s="254" t="str">
        <f t="shared" si="29"/>
        <v/>
      </c>
      <c r="AD102" s="254" t="str">
        <f t="shared" si="29"/>
        <v/>
      </c>
      <c r="AE102" s="196">
        <f t="shared" si="29"/>
        <v>1</v>
      </c>
      <c r="AF102" s="196">
        <f t="shared" si="29"/>
        <v>1</v>
      </c>
      <c r="AG102" s="196">
        <f t="shared" si="29"/>
        <v>1</v>
      </c>
      <c r="AH102" s="254" t="str">
        <f t="shared" si="29"/>
        <v/>
      </c>
      <c r="AI102" s="254" t="str">
        <f t="shared" si="29"/>
        <v/>
      </c>
      <c r="AJ102" s="254" t="str">
        <f t="shared" si="29"/>
        <v/>
      </c>
      <c r="AK102" s="254" t="str">
        <f t="shared" si="29"/>
        <v/>
      </c>
      <c r="AL102" s="254" t="str">
        <f t="shared" si="29"/>
        <v/>
      </c>
      <c r="AM102" s="254" t="str">
        <f t="shared" si="29"/>
        <v/>
      </c>
      <c r="AN102" s="254">
        <f t="shared" si="29"/>
        <v>1.1000000000000001</v>
      </c>
      <c r="AO102" s="254" t="str">
        <f t="shared" si="29"/>
        <v/>
      </c>
      <c r="AP102" s="254"/>
      <c r="AQ102" s="254" t="str">
        <f t="shared" si="29"/>
        <v/>
      </c>
      <c r="AR102" s="205"/>
      <c r="AS102" s="205"/>
      <c r="AT102" s="205"/>
    </row>
    <row r="103" spans="1:46" s="173" customFormat="1" x14ac:dyDescent="0.2">
      <c r="A103" s="203" t="s">
        <v>601</v>
      </c>
      <c r="B103" s="203" t="s">
        <v>715</v>
      </c>
      <c r="C103" s="203" t="s">
        <v>619</v>
      </c>
      <c r="D103" s="203" t="s">
        <v>438</v>
      </c>
      <c r="E103" s="190" t="str">
        <f t="shared" si="28"/>
        <v>Heat pump, ground source</v>
      </c>
      <c r="F103" s="254" t="str">
        <f t="shared" si="28"/>
        <v>RSDELC</v>
      </c>
      <c r="G103" s="254" t="str">
        <f t="shared" si="28"/>
        <v>RSDGHT</v>
      </c>
      <c r="H103" s="201" t="s">
        <v>704</v>
      </c>
      <c r="I103" s="205"/>
      <c r="J103" s="205"/>
      <c r="K103" s="254">
        <f t="shared" si="29"/>
        <v>20</v>
      </c>
      <c r="L103" s="255">
        <f t="shared" si="29"/>
        <v>16350</v>
      </c>
      <c r="M103" s="255">
        <f t="shared" si="29"/>
        <v>15205.5</v>
      </c>
      <c r="N103" s="255">
        <f t="shared" si="29"/>
        <v>14061</v>
      </c>
      <c r="O103" s="255">
        <f t="shared" si="29"/>
        <v>12916.5</v>
      </c>
      <c r="P103" s="255">
        <f t="shared" si="29"/>
        <v>12916.5</v>
      </c>
      <c r="Q103" s="255">
        <f t="shared" si="29"/>
        <v>300</v>
      </c>
      <c r="R103" s="254" t="str">
        <f t="shared" si="29"/>
        <v/>
      </c>
      <c r="S103" s="260">
        <f t="shared" si="29"/>
        <v>3.6</v>
      </c>
      <c r="T103" s="260">
        <f t="shared" si="29"/>
        <v>3.7</v>
      </c>
      <c r="U103" s="260">
        <f t="shared" si="29"/>
        <v>4</v>
      </c>
      <c r="V103" s="260">
        <f t="shared" si="29"/>
        <v>4.5</v>
      </c>
      <c r="W103" s="260">
        <f t="shared" si="29"/>
        <v>4.5</v>
      </c>
      <c r="X103" s="254" t="str">
        <f t="shared" si="29"/>
        <v/>
      </c>
      <c r="Y103" s="254" t="str">
        <f t="shared" si="29"/>
        <v/>
      </c>
      <c r="Z103" s="254" t="str">
        <f t="shared" si="29"/>
        <v/>
      </c>
      <c r="AA103" s="254" t="str">
        <f t="shared" si="29"/>
        <v/>
      </c>
      <c r="AB103" s="254" t="str">
        <f t="shared" si="29"/>
        <v/>
      </c>
      <c r="AC103" s="254" t="str">
        <f t="shared" si="29"/>
        <v/>
      </c>
      <c r="AD103" s="254" t="str">
        <f t="shared" si="29"/>
        <v/>
      </c>
      <c r="AE103" s="196">
        <f t="shared" si="29"/>
        <v>1</v>
      </c>
      <c r="AF103" s="196">
        <f t="shared" si="29"/>
        <v>1</v>
      </c>
      <c r="AG103" s="196" t="str">
        <f t="shared" si="29"/>
        <v/>
      </c>
      <c r="AH103" s="254" t="str">
        <f t="shared" si="29"/>
        <v/>
      </c>
      <c r="AI103" s="254" t="str">
        <f t="shared" si="29"/>
        <v/>
      </c>
      <c r="AJ103" s="254" t="str">
        <f t="shared" si="29"/>
        <v/>
      </c>
      <c r="AK103" s="254" t="str">
        <f t="shared" si="29"/>
        <v/>
      </c>
      <c r="AL103" s="254" t="str">
        <f t="shared" si="29"/>
        <v/>
      </c>
      <c r="AM103" s="254" t="str">
        <f t="shared" si="29"/>
        <v/>
      </c>
      <c r="AN103" s="254" t="str">
        <f t="shared" si="29"/>
        <v/>
      </c>
      <c r="AO103" s="254" t="str">
        <f t="shared" si="29"/>
        <v/>
      </c>
      <c r="AP103" s="254"/>
      <c r="AQ103" s="254" t="str">
        <f t="shared" si="29"/>
        <v/>
      </c>
      <c r="AR103" s="205"/>
      <c r="AS103" s="205"/>
      <c r="AT103" s="205"/>
    </row>
    <row r="104" spans="1:46" s="173" customFormat="1" x14ac:dyDescent="0.2">
      <c r="A104" s="201" t="s">
        <v>601</v>
      </c>
      <c r="B104" s="203" t="s">
        <v>716</v>
      </c>
      <c r="C104" s="201" t="s">
        <v>621</v>
      </c>
      <c r="D104" s="201" t="s">
        <v>438</v>
      </c>
      <c r="E104" s="190" t="str">
        <f t="shared" si="28"/>
        <v>Heat pump, ground source + add costs</v>
      </c>
      <c r="F104" s="254" t="str">
        <f t="shared" si="28"/>
        <v>RSDELC</v>
      </c>
      <c r="G104" s="254" t="str">
        <f t="shared" si="28"/>
        <v>RSDGHT</v>
      </c>
      <c r="H104" s="201" t="s">
        <v>714</v>
      </c>
      <c r="I104" s="205"/>
      <c r="J104" s="205"/>
      <c r="K104" s="254">
        <f t="shared" si="29"/>
        <v>20</v>
      </c>
      <c r="L104" s="255">
        <f t="shared" si="29"/>
        <v>17985</v>
      </c>
      <c r="M104" s="255">
        <f t="shared" si="29"/>
        <v>16726.050000000003</v>
      </c>
      <c r="N104" s="255">
        <f t="shared" si="29"/>
        <v>15467.1</v>
      </c>
      <c r="O104" s="255">
        <f t="shared" si="29"/>
        <v>14208.150000000001</v>
      </c>
      <c r="P104" s="255">
        <f t="shared" si="29"/>
        <v>14208.150000000001</v>
      </c>
      <c r="Q104" s="255">
        <f t="shared" si="29"/>
        <v>330</v>
      </c>
      <c r="R104" s="254" t="str">
        <f t="shared" si="29"/>
        <v/>
      </c>
      <c r="S104" s="260">
        <f t="shared" si="29"/>
        <v>3.6</v>
      </c>
      <c r="T104" s="260">
        <f t="shared" si="29"/>
        <v>3.7</v>
      </c>
      <c r="U104" s="260">
        <f t="shared" si="29"/>
        <v>4</v>
      </c>
      <c r="V104" s="260">
        <f t="shared" si="29"/>
        <v>4.5</v>
      </c>
      <c r="W104" s="260">
        <f t="shared" si="29"/>
        <v>4.5</v>
      </c>
      <c r="X104" s="254" t="str">
        <f t="shared" si="29"/>
        <v/>
      </c>
      <c r="Y104" s="254" t="str">
        <f t="shared" si="29"/>
        <v/>
      </c>
      <c r="Z104" s="254" t="str">
        <f t="shared" si="29"/>
        <v/>
      </c>
      <c r="AA104" s="254" t="str">
        <f t="shared" si="29"/>
        <v/>
      </c>
      <c r="AB104" s="254" t="str">
        <f t="shared" si="29"/>
        <v/>
      </c>
      <c r="AC104" s="254" t="str">
        <f t="shared" si="29"/>
        <v/>
      </c>
      <c r="AD104" s="254" t="str">
        <f t="shared" si="29"/>
        <v/>
      </c>
      <c r="AE104" s="196">
        <f t="shared" si="29"/>
        <v>1</v>
      </c>
      <c r="AF104" s="196">
        <f t="shared" si="29"/>
        <v>1</v>
      </c>
      <c r="AG104" s="196">
        <f t="shared" si="29"/>
        <v>1</v>
      </c>
      <c r="AH104" s="254" t="str">
        <f t="shared" si="29"/>
        <v/>
      </c>
      <c r="AI104" s="254" t="str">
        <f t="shared" si="29"/>
        <v/>
      </c>
      <c r="AJ104" s="254" t="str">
        <f t="shared" si="29"/>
        <v/>
      </c>
      <c r="AK104" s="254" t="str">
        <f t="shared" si="29"/>
        <v/>
      </c>
      <c r="AL104" s="254" t="str">
        <f t="shared" si="29"/>
        <v/>
      </c>
      <c r="AM104" s="254" t="str">
        <f t="shared" si="29"/>
        <v/>
      </c>
      <c r="AN104" s="254">
        <f t="shared" si="29"/>
        <v>1.1000000000000001</v>
      </c>
      <c r="AO104" s="254" t="str">
        <f t="shared" si="29"/>
        <v/>
      </c>
      <c r="AP104" s="254"/>
      <c r="AQ104" s="254" t="str">
        <f t="shared" si="29"/>
        <v/>
      </c>
      <c r="AR104" s="205"/>
      <c r="AS104" s="205"/>
      <c r="AT104" s="205"/>
    </row>
    <row r="105" spans="1:46" s="173" customFormat="1" x14ac:dyDescent="0.2">
      <c r="A105" s="203" t="s">
        <v>601</v>
      </c>
      <c r="B105" s="203" t="s">
        <v>717</v>
      </c>
      <c r="C105" s="203" t="s">
        <v>623</v>
      </c>
      <c r="D105" s="203" t="s">
        <v>438</v>
      </c>
      <c r="E105" s="190" t="str">
        <f t="shared" si="28"/>
        <v>Heat pump, ground source</v>
      </c>
      <c r="F105" s="254" t="str">
        <f t="shared" si="28"/>
        <v>RSDELC</v>
      </c>
      <c r="G105" s="254" t="str">
        <f t="shared" si="28"/>
        <v>RSDGHT</v>
      </c>
      <c r="H105" s="201" t="s">
        <v>704</v>
      </c>
      <c r="I105" s="205"/>
      <c r="J105" s="205"/>
      <c r="K105" s="254">
        <f t="shared" si="29"/>
        <v>20</v>
      </c>
      <c r="L105" s="255">
        <f t="shared" si="29"/>
        <v>25800</v>
      </c>
      <c r="M105" s="255">
        <f t="shared" si="29"/>
        <v>24655.5</v>
      </c>
      <c r="N105" s="255">
        <f t="shared" si="29"/>
        <v>23511</v>
      </c>
      <c r="O105" s="255">
        <f t="shared" si="29"/>
        <v>22366.5</v>
      </c>
      <c r="P105" s="255">
        <f t="shared" si="29"/>
        <v>22366.5</v>
      </c>
      <c r="Q105" s="255">
        <f t="shared" si="29"/>
        <v>300</v>
      </c>
      <c r="R105" s="254" t="str">
        <f t="shared" si="29"/>
        <v/>
      </c>
      <c r="S105" s="260">
        <f t="shared" si="29"/>
        <v>3.6</v>
      </c>
      <c r="T105" s="260">
        <f t="shared" si="29"/>
        <v>3.7</v>
      </c>
      <c r="U105" s="260">
        <f t="shared" si="29"/>
        <v>4</v>
      </c>
      <c r="V105" s="260">
        <f t="shared" si="29"/>
        <v>4.5</v>
      </c>
      <c r="W105" s="260">
        <f t="shared" si="29"/>
        <v>4.5</v>
      </c>
      <c r="X105" s="254" t="str">
        <f t="shared" si="29"/>
        <v/>
      </c>
      <c r="Y105" s="254" t="str">
        <f t="shared" si="29"/>
        <v/>
      </c>
      <c r="Z105" s="254" t="str">
        <f t="shared" si="29"/>
        <v/>
      </c>
      <c r="AA105" s="254" t="str">
        <f t="shared" si="29"/>
        <v/>
      </c>
      <c r="AB105" s="254" t="str">
        <f t="shared" si="29"/>
        <v/>
      </c>
      <c r="AC105" s="254" t="str">
        <f t="shared" si="29"/>
        <v/>
      </c>
      <c r="AD105" s="254" t="str">
        <f t="shared" si="29"/>
        <v/>
      </c>
      <c r="AE105" s="196">
        <f t="shared" si="29"/>
        <v>1</v>
      </c>
      <c r="AF105" s="196">
        <f t="shared" si="29"/>
        <v>1</v>
      </c>
      <c r="AG105" s="196" t="str">
        <f t="shared" si="29"/>
        <v/>
      </c>
      <c r="AH105" s="254" t="str">
        <f t="shared" si="29"/>
        <v/>
      </c>
      <c r="AI105" s="254" t="str">
        <f t="shared" si="29"/>
        <v/>
      </c>
      <c r="AJ105" s="254" t="str">
        <f t="shared" si="29"/>
        <v/>
      </c>
      <c r="AK105" s="254" t="str">
        <f t="shared" si="29"/>
        <v/>
      </c>
      <c r="AL105" s="254" t="str">
        <f t="shared" si="29"/>
        <v/>
      </c>
      <c r="AM105" s="254" t="str">
        <f t="shared" si="29"/>
        <v/>
      </c>
      <c r="AN105" s="254" t="str">
        <f t="shared" si="29"/>
        <v/>
      </c>
      <c r="AO105" s="254" t="str">
        <f t="shared" si="29"/>
        <v>Y</v>
      </c>
      <c r="AP105" s="254"/>
      <c r="AQ105" s="254" t="str">
        <f t="shared" si="29"/>
        <v>Dominated tech by horizontal tech</v>
      </c>
      <c r="AR105" s="205"/>
      <c r="AS105" s="205"/>
      <c r="AT105" s="205"/>
    </row>
    <row r="106" spans="1:46" s="173" customFormat="1" x14ac:dyDescent="0.2">
      <c r="A106" s="201" t="s">
        <v>601</v>
      </c>
      <c r="B106" s="203" t="s">
        <v>718</v>
      </c>
      <c r="C106" s="201" t="s">
        <v>626</v>
      </c>
      <c r="D106" s="201" t="s">
        <v>438</v>
      </c>
      <c r="E106" s="190" t="str">
        <f t="shared" si="28"/>
        <v>Heat pump, ground source + add costs</v>
      </c>
      <c r="F106" s="254" t="str">
        <f t="shared" si="28"/>
        <v>RSDELC</v>
      </c>
      <c r="G106" s="254" t="str">
        <f t="shared" si="28"/>
        <v>RSDGHT</v>
      </c>
      <c r="H106" s="201" t="s">
        <v>714</v>
      </c>
      <c r="I106" s="205"/>
      <c r="J106" s="205"/>
      <c r="K106" s="254">
        <f t="shared" si="29"/>
        <v>20</v>
      </c>
      <c r="L106" s="255">
        <f t="shared" si="29"/>
        <v>28380.000000000004</v>
      </c>
      <c r="M106" s="255">
        <f t="shared" si="29"/>
        <v>27121.050000000003</v>
      </c>
      <c r="N106" s="255">
        <f t="shared" si="29"/>
        <v>25862.100000000002</v>
      </c>
      <c r="O106" s="255">
        <f t="shared" si="29"/>
        <v>24603.15</v>
      </c>
      <c r="P106" s="255">
        <f t="shared" si="29"/>
        <v>24603.15</v>
      </c>
      <c r="Q106" s="255">
        <f t="shared" si="29"/>
        <v>330</v>
      </c>
      <c r="R106" s="254" t="str">
        <f t="shared" si="29"/>
        <v/>
      </c>
      <c r="S106" s="260">
        <f t="shared" si="29"/>
        <v>3.6</v>
      </c>
      <c r="T106" s="260">
        <f t="shared" si="29"/>
        <v>3.7</v>
      </c>
      <c r="U106" s="260">
        <f t="shared" si="29"/>
        <v>4</v>
      </c>
      <c r="V106" s="260">
        <f t="shared" si="29"/>
        <v>4.5</v>
      </c>
      <c r="W106" s="260">
        <f t="shared" si="29"/>
        <v>4.5</v>
      </c>
      <c r="X106" s="254" t="str">
        <f t="shared" si="29"/>
        <v/>
      </c>
      <c r="Y106" s="254" t="str">
        <f t="shared" si="29"/>
        <v/>
      </c>
      <c r="Z106" s="254" t="str">
        <f t="shared" si="29"/>
        <v/>
      </c>
      <c r="AA106" s="254" t="str">
        <f t="shared" si="29"/>
        <v/>
      </c>
      <c r="AB106" s="254" t="str">
        <f t="shared" si="29"/>
        <v/>
      </c>
      <c r="AC106" s="254" t="str">
        <f t="shared" si="29"/>
        <v/>
      </c>
      <c r="AD106" s="254" t="str">
        <f t="shared" si="29"/>
        <v/>
      </c>
      <c r="AE106" s="196">
        <f t="shared" si="29"/>
        <v>1</v>
      </c>
      <c r="AF106" s="196">
        <f t="shared" si="29"/>
        <v>1</v>
      </c>
      <c r="AG106" s="196">
        <f t="shared" si="29"/>
        <v>1</v>
      </c>
      <c r="AH106" s="254" t="str">
        <f t="shared" si="29"/>
        <v/>
      </c>
      <c r="AI106" s="254" t="str">
        <f t="shared" si="29"/>
        <v/>
      </c>
      <c r="AJ106" s="254" t="str">
        <f t="shared" si="29"/>
        <v/>
      </c>
      <c r="AK106" s="254" t="str">
        <f t="shared" si="29"/>
        <v/>
      </c>
      <c r="AL106" s="254" t="str">
        <f t="shared" si="29"/>
        <v/>
      </c>
      <c r="AM106" s="254" t="str">
        <f t="shared" si="29"/>
        <v/>
      </c>
      <c r="AN106" s="254">
        <f t="shared" si="29"/>
        <v>1.1000000000000001</v>
      </c>
      <c r="AO106" s="254" t="str">
        <f t="shared" si="29"/>
        <v>Y</v>
      </c>
      <c r="AP106" s="254"/>
      <c r="AQ106" s="254" t="str">
        <f t="shared" si="29"/>
        <v/>
      </c>
      <c r="AR106" s="205"/>
      <c r="AS106" s="205"/>
      <c r="AT106" s="205"/>
    </row>
    <row r="107" spans="1:46" s="173" customFormat="1" x14ac:dyDescent="0.2">
      <c r="A107" s="203" t="s">
        <v>601</v>
      </c>
      <c r="B107" s="203" t="s">
        <v>719</v>
      </c>
      <c r="C107" s="203" t="s">
        <v>629</v>
      </c>
      <c r="D107" s="203" t="s">
        <v>438</v>
      </c>
      <c r="E107" s="190" t="str">
        <f t="shared" si="28"/>
        <v>HP-e-groundwater</v>
      </c>
      <c r="F107" s="254" t="str">
        <f t="shared" si="28"/>
        <v>RSDELC</v>
      </c>
      <c r="G107" s="254" t="str">
        <f t="shared" si="28"/>
        <v>RSDGHT</v>
      </c>
      <c r="H107" s="201" t="s">
        <v>704</v>
      </c>
      <c r="I107" s="205"/>
      <c r="J107" s="205"/>
      <c r="K107" s="254">
        <f t="shared" si="29"/>
        <v>25</v>
      </c>
      <c r="L107" s="255">
        <f t="shared" si="29"/>
        <v>25735</v>
      </c>
      <c r="M107" s="255">
        <f t="shared" si="29"/>
        <v>25735</v>
      </c>
      <c r="N107" s="255">
        <f t="shared" si="29"/>
        <v>21647.5</v>
      </c>
      <c r="O107" s="255">
        <f t="shared" si="29"/>
        <v>21647.5</v>
      </c>
      <c r="P107" s="255">
        <f t="shared" si="29"/>
        <v>20012.5</v>
      </c>
      <c r="Q107" s="255">
        <f t="shared" si="29"/>
        <v>300</v>
      </c>
      <c r="R107" s="254" t="str">
        <f t="shared" si="29"/>
        <v/>
      </c>
      <c r="S107" s="260">
        <f t="shared" si="29"/>
        <v>3.52</v>
      </c>
      <c r="T107" s="260">
        <f t="shared" si="29"/>
        <v>3.52</v>
      </c>
      <c r="U107" s="260">
        <f t="shared" si="29"/>
        <v>4.9279999999999999</v>
      </c>
      <c r="V107" s="260">
        <f t="shared" si="29"/>
        <v>4.9279999999999999</v>
      </c>
      <c r="W107" s="260">
        <f t="shared" si="29"/>
        <v>5.28</v>
      </c>
      <c r="X107" s="254" t="str">
        <f t="shared" si="29"/>
        <v/>
      </c>
      <c r="Y107" s="254" t="str">
        <f t="shared" si="29"/>
        <v/>
      </c>
      <c r="Z107" s="254" t="str">
        <f t="shared" si="29"/>
        <v/>
      </c>
      <c r="AA107" s="254" t="str">
        <f t="shared" si="29"/>
        <v/>
      </c>
      <c r="AB107" s="254" t="str">
        <f t="shared" si="29"/>
        <v/>
      </c>
      <c r="AC107" s="254" t="str">
        <f t="shared" si="29"/>
        <v/>
      </c>
      <c r="AD107" s="254" t="str">
        <f t="shared" si="29"/>
        <v/>
      </c>
      <c r="AE107" s="196">
        <f t="shared" si="29"/>
        <v>1</v>
      </c>
      <c r="AF107" s="196">
        <f t="shared" si="29"/>
        <v>1</v>
      </c>
      <c r="AG107" s="196" t="str">
        <f t="shared" si="29"/>
        <v/>
      </c>
      <c r="AH107" s="254" t="str">
        <f t="shared" si="29"/>
        <v/>
      </c>
      <c r="AI107" s="254" t="str">
        <f t="shared" si="29"/>
        <v/>
      </c>
      <c r="AJ107" s="254" t="str">
        <f t="shared" si="29"/>
        <v/>
      </c>
      <c r="AK107" s="254" t="str">
        <f t="shared" si="29"/>
        <v/>
      </c>
      <c r="AL107" s="254" t="str">
        <f t="shared" si="29"/>
        <v/>
      </c>
      <c r="AM107" s="254" t="str">
        <f t="shared" si="29"/>
        <v/>
      </c>
      <c r="AN107" s="254" t="str">
        <f t="shared" si="29"/>
        <v/>
      </c>
      <c r="AO107" s="254" t="str">
        <f t="shared" si="29"/>
        <v>Y</v>
      </c>
      <c r="AP107" s="254"/>
      <c r="AQ107" s="254" t="str">
        <f t="shared" si="29"/>
        <v>Drilling costs &amp; heat exchanger</v>
      </c>
      <c r="AR107" s="205"/>
      <c r="AS107" s="205"/>
      <c r="AT107" s="205"/>
    </row>
    <row r="108" spans="1:46" s="175" customFormat="1" x14ac:dyDescent="0.2">
      <c r="A108" s="206" t="s">
        <v>601</v>
      </c>
      <c r="B108" s="208" t="s">
        <v>720</v>
      </c>
      <c r="C108" s="206" t="s">
        <v>632</v>
      </c>
      <c r="D108" s="206" t="s">
        <v>438</v>
      </c>
      <c r="E108" s="191" t="str">
        <f t="shared" si="28"/>
        <v>HP-e-groundwater + add costs</v>
      </c>
      <c r="F108" s="257" t="str">
        <f t="shared" si="28"/>
        <v>RSDELC</v>
      </c>
      <c r="G108" s="257" t="str">
        <f t="shared" si="28"/>
        <v>RSDGHT</v>
      </c>
      <c r="H108" s="206" t="s">
        <v>714</v>
      </c>
      <c r="I108" s="206"/>
      <c r="J108" s="206"/>
      <c r="K108" s="257">
        <f t="shared" si="29"/>
        <v>25</v>
      </c>
      <c r="L108" s="258">
        <f t="shared" si="29"/>
        <v>28308.500000000004</v>
      </c>
      <c r="M108" s="258">
        <f t="shared" si="29"/>
        <v>28308.500000000004</v>
      </c>
      <c r="N108" s="258">
        <f t="shared" si="29"/>
        <v>23812.250000000004</v>
      </c>
      <c r="O108" s="258">
        <f t="shared" si="29"/>
        <v>23812.250000000004</v>
      </c>
      <c r="P108" s="258">
        <f t="shared" si="29"/>
        <v>22013.75</v>
      </c>
      <c r="Q108" s="258">
        <f t="shared" si="29"/>
        <v>330</v>
      </c>
      <c r="R108" s="257" t="str">
        <f t="shared" si="29"/>
        <v/>
      </c>
      <c r="S108" s="261">
        <f t="shared" si="29"/>
        <v>3.52</v>
      </c>
      <c r="T108" s="261">
        <f t="shared" si="29"/>
        <v>3.52</v>
      </c>
      <c r="U108" s="261">
        <f t="shared" si="29"/>
        <v>4.9279999999999999</v>
      </c>
      <c r="V108" s="261">
        <f t="shared" si="29"/>
        <v>4.9279999999999999</v>
      </c>
      <c r="W108" s="261">
        <f t="shared" si="29"/>
        <v>5.28</v>
      </c>
      <c r="X108" s="257" t="str">
        <f t="shared" si="29"/>
        <v/>
      </c>
      <c r="Y108" s="257" t="str">
        <f t="shared" si="29"/>
        <v/>
      </c>
      <c r="Z108" s="257" t="str">
        <f t="shared" si="29"/>
        <v/>
      </c>
      <c r="AA108" s="257" t="str">
        <f t="shared" si="29"/>
        <v/>
      </c>
      <c r="AB108" s="257" t="str">
        <f t="shared" si="29"/>
        <v/>
      </c>
      <c r="AC108" s="257" t="str">
        <f t="shared" si="29"/>
        <v/>
      </c>
      <c r="AD108" s="257" t="str">
        <f t="shared" si="29"/>
        <v/>
      </c>
      <c r="AE108" s="197">
        <f t="shared" si="29"/>
        <v>1</v>
      </c>
      <c r="AF108" s="197">
        <f t="shared" si="29"/>
        <v>1</v>
      </c>
      <c r="AG108" s="197">
        <f t="shared" si="29"/>
        <v>1</v>
      </c>
      <c r="AH108" s="257" t="str">
        <f t="shared" si="29"/>
        <v/>
      </c>
      <c r="AI108" s="257" t="str">
        <f t="shared" si="29"/>
        <v/>
      </c>
      <c r="AJ108" s="257" t="str">
        <f t="shared" si="29"/>
        <v/>
      </c>
      <c r="AK108" s="257" t="str">
        <f t="shared" si="29"/>
        <v/>
      </c>
      <c r="AL108" s="257" t="str">
        <f t="shared" si="29"/>
        <v/>
      </c>
      <c r="AM108" s="257" t="str">
        <f t="shared" si="29"/>
        <v/>
      </c>
      <c r="AN108" s="257">
        <f t="shared" si="29"/>
        <v>1.1000000000000001</v>
      </c>
      <c r="AO108" s="257" t="str">
        <f t="shared" si="29"/>
        <v>Y</v>
      </c>
      <c r="AP108" s="257"/>
      <c r="AQ108" s="257" t="str">
        <f t="shared" si="29"/>
        <v>Drilling costs &amp; heat exchanger</v>
      </c>
      <c r="AR108" s="206"/>
      <c r="AS108" s="206"/>
      <c r="AT108" s="206"/>
    </row>
    <row r="109" spans="1:46" s="173" customFormat="1" x14ac:dyDescent="0.2">
      <c r="A109" s="201" t="s">
        <v>634</v>
      </c>
      <c r="B109" s="201" t="s">
        <v>721</v>
      </c>
      <c r="C109" s="201" t="s">
        <v>636</v>
      </c>
      <c r="D109" s="201" t="s">
        <v>438</v>
      </c>
      <c r="E109" s="190" t="str">
        <f t="shared" si="28"/>
        <v>GHP – direct-fired absorption heat pump air/brine to water</v>
      </c>
      <c r="F109" s="254" t="str">
        <f t="shared" si="28"/>
        <v>RSDGAS, RSDLPG, RSDBGS</v>
      </c>
      <c r="G109" s="254" t="str">
        <f t="shared" si="28"/>
        <v>RSDAHT</v>
      </c>
      <c r="H109" s="201" t="s">
        <v>704</v>
      </c>
      <c r="I109" s="205"/>
      <c r="J109" s="205"/>
      <c r="K109" s="254">
        <f t="shared" si="29"/>
        <v>22</v>
      </c>
      <c r="L109" s="255">
        <f t="shared" si="29"/>
        <v>28900</v>
      </c>
      <c r="M109" s="255">
        <f t="shared" si="29"/>
        <v>28900</v>
      </c>
      <c r="N109" s="255">
        <f t="shared" si="29"/>
        <v>27166</v>
      </c>
      <c r="O109" s="255">
        <f t="shared" si="29"/>
        <v>27166</v>
      </c>
      <c r="P109" s="255">
        <f t="shared" si="29"/>
        <v>27166</v>
      </c>
      <c r="Q109" s="255">
        <f t="shared" si="29"/>
        <v>155</v>
      </c>
      <c r="R109" s="254" t="str">
        <f t="shared" si="29"/>
        <v/>
      </c>
      <c r="S109" s="260">
        <f t="shared" si="29"/>
        <v>1.35</v>
      </c>
      <c r="T109" s="260">
        <f t="shared" si="29"/>
        <v>1.45</v>
      </c>
      <c r="U109" s="260">
        <f t="shared" si="29"/>
        <v>1.7</v>
      </c>
      <c r="V109" s="260">
        <f t="shared" si="29"/>
        <v>1.7</v>
      </c>
      <c r="W109" s="260">
        <f t="shared" si="29"/>
        <v>1.7</v>
      </c>
      <c r="X109" s="254" t="str">
        <f t="shared" si="29"/>
        <v/>
      </c>
      <c r="Y109" s="254" t="str">
        <f t="shared" si="29"/>
        <v/>
      </c>
      <c r="Z109" s="254" t="str">
        <f t="shared" si="29"/>
        <v/>
      </c>
      <c r="AA109" s="254" t="str">
        <f t="shared" si="29"/>
        <v/>
      </c>
      <c r="AB109" s="254" t="str">
        <f t="shared" si="29"/>
        <v/>
      </c>
      <c r="AC109" s="254" t="str">
        <f t="shared" si="29"/>
        <v/>
      </c>
      <c r="AD109" s="254" t="str">
        <f t="shared" si="29"/>
        <v/>
      </c>
      <c r="AE109" s="196">
        <f t="shared" si="29"/>
        <v>1</v>
      </c>
      <c r="AF109" s="196">
        <f t="shared" si="29"/>
        <v>1</v>
      </c>
      <c r="AG109" s="196" t="str">
        <f t="shared" si="29"/>
        <v/>
      </c>
      <c r="AH109" s="254" t="str">
        <f t="shared" si="29"/>
        <v/>
      </c>
      <c r="AI109" s="254" t="str">
        <f t="shared" si="29"/>
        <v/>
      </c>
      <c r="AJ109" s="254" t="str">
        <f t="shared" si="29"/>
        <v/>
      </c>
      <c r="AK109" s="254" t="str">
        <f t="shared" si="29"/>
        <v/>
      </c>
      <c r="AL109" s="254" t="str">
        <f t="shared" si="29"/>
        <v/>
      </c>
      <c r="AM109" s="254" t="str">
        <f t="shared" si="29"/>
        <v/>
      </c>
      <c r="AN109" s="254" t="str">
        <f t="shared" si="29"/>
        <v/>
      </c>
      <c r="AO109" s="254" t="str">
        <f t="shared" si="29"/>
        <v/>
      </c>
      <c r="AP109" s="254"/>
      <c r="AQ109" s="254" t="str">
        <f t="shared" ref="AQ109" si="30">IF(AQ27="","",AQ27)</f>
        <v/>
      </c>
      <c r="AR109" s="205"/>
      <c r="AS109" s="205"/>
      <c r="AT109" s="205"/>
    </row>
    <row r="110" spans="1:46" s="173" customFormat="1" x14ac:dyDescent="0.2">
      <c r="A110" s="201" t="s">
        <v>634</v>
      </c>
      <c r="B110" s="201" t="s">
        <v>722</v>
      </c>
      <c r="C110" s="201" t="s">
        <v>640</v>
      </c>
      <c r="D110" s="201" t="s">
        <v>438</v>
      </c>
      <c r="E110" s="190" t="str">
        <f t="shared" si="28"/>
        <v>GHP – direct-fired absorption heat pump air/brine to water + add costs</v>
      </c>
      <c r="F110" s="254" t="str">
        <f t="shared" si="28"/>
        <v>RSDGAS, RSDLPG, RSDBGS</v>
      </c>
      <c r="G110" s="254" t="str">
        <f t="shared" si="28"/>
        <v>RSDAHT</v>
      </c>
      <c r="H110" s="201" t="s">
        <v>714</v>
      </c>
      <c r="I110" s="205"/>
      <c r="J110" s="205"/>
      <c r="K110" s="254">
        <f t="shared" ref="K110:AQ117" si="31">IF(K28="","",K28)</f>
        <v>22</v>
      </c>
      <c r="L110" s="255">
        <f t="shared" si="31"/>
        <v>31790.000000000004</v>
      </c>
      <c r="M110" s="255">
        <f t="shared" si="31"/>
        <v>31790.000000000004</v>
      </c>
      <c r="N110" s="255">
        <f t="shared" si="31"/>
        <v>29882.600000000002</v>
      </c>
      <c r="O110" s="255">
        <f t="shared" si="31"/>
        <v>29882.600000000002</v>
      </c>
      <c r="P110" s="255">
        <f t="shared" si="31"/>
        <v>29882.600000000002</v>
      </c>
      <c r="Q110" s="255">
        <f t="shared" si="31"/>
        <v>170.5</v>
      </c>
      <c r="R110" s="254" t="str">
        <f t="shared" si="31"/>
        <v/>
      </c>
      <c r="S110" s="260">
        <f t="shared" si="31"/>
        <v>1.35</v>
      </c>
      <c r="T110" s="260">
        <f t="shared" si="31"/>
        <v>1.45</v>
      </c>
      <c r="U110" s="260">
        <f t="shared" si="31"/>
        <v>1.7</v>
      </c>
      <c r="V110" s="260">
        <f t="shared" si="31"/>
        <v>1.7</v>
      </c>
      <c r="W110" s="260">
        <f t="shared" si="31"/>
        <v>1.7</v>
      </c>
      <c r="X110" s="254" t="str">
        <f t="shared" si="31"/>
        <v/>
      </c>
      <c r="Y110" s="254" t="str">
        <f t="shared" si="31"/>
        <v/>
      </c>
      <c r="Z110" s="254" t="str">
        <f t="shared" si="31"/>
        <v/>
      </c>
      <c r="AA110" s="254" t="str">
        <f t="shared" si="31"/>
        <v/>
      </c>
      <c r="AB110" s="254" t="str">
        <f t="shared" si="31"/>
        <v/>
      </c>
      <c r="AC110" s="254" t="str">
        <f t="shared" si="31"/>
        <v/>
      </c>
      <c r="AD110" s="254" t="str">
        <f t="shared" si="31"/>
        <v/>
      </c>
      <c r="AE110" s="196">
        <f t="shared" si="31"/>
        <v>1</v>
      </c>
      <c r="AF110" s="196">
        <f t="shared" si="31"/>
        <v>1</v>
      </c>
      <c r="AG110" s="196">
        <f t="shared" si="31"/>
        <v>1</v>
      </c>
      <c r="AH110" s="254" t="str">
        <f t="shared" si="31"/>
        <v/>
      </c>
      <c r="AI110" s="254" t="str">
        <f t="shared" si="31"/>
        <v/>
      </c>
      <c r="AJ110" s="254" t="str">
        <f t="shared" si="31"/>
        <v/>
      </c>
      <c r="AK110" s="254" t="str">
        <f t="shared" si="31"/>
        <v/>
      </c>
      <c r="AL110" s="254" t="str">
        <f t="shared" si="31"/>
        <v/>
      </c>
      <c r="AM110" s="254" t="str">
        <f t="shared" si="31"/>
        <v/>
      </c>
      <c r="AN110" s="254">
        <f t="shared" si="31"/>
        <v>1.1000000000000001</v>
      </c>
      <c r="AO110" s="254" t="str">
        <f t="shared" si="31"/>
        <v/>
      </c>
      <c r="AP110" s="254"/>
      <c r="AQ110" s="254" t="str">
        <f t="shared" si="31"/>
        <v/>
      </c>
      <c r="AR110" s="205"/>
      <c r="AS110" s="205"/>
      <c r="AT110" s="205"/>
    </row>
    <row r="111" spans="1:46" s="173" customFormat="1" x14ac:dyDescent="0.2">
      <c r="A111" s="201" t="s">
        <v>634</v>
      </c>
      <c r="B111" s="201" t="s">
        <v>723</v>
      </c>
      <c r="C111" s="201" t="s">
        <v>641</v>
      </c>
      <c r="D111" s="201" t="s">
        <v>438</v>
      </c>
      <c r="E111" s="190" t="str">
        <f t="shared" si="28"/>
        <v>GHP – adsorption heat pump brine to water + Solar thermal collectors</v>
      </c>
      <c r="F111" s="254" t="str">
        <f t="shared" si="28"/>
        <v>RSDGAS, RSDLPG, RSDBGS</v>
      </c>
      <c r="G111" s="254" t="str">
        <f t="shared" si="28"/>
        <v>RSDAHT</v>
      </c>
      <c r="H111" s="201" t="s">
        <v>704</v>
      </c>
      <c r="I111" s="205"/>
      <c r="J111" s="205"/>
      <c r="K111" s="254">
        <f t="shared" si="31"/>
        <v>20</v>
      </c>
      <c r="L111" s="255">
        <f t="shared" si="31"/>
        <v>19496</v>
      </c>
      <c r="M111" s="255">
        <f t="shared" si="31"/>
        <v>19496</v>
      </c>
      <c r="N111" s="255">
        <f t="shared" si="31"/>
        <v>19496</v>
      </c>
      <c r="O111" s="255">
        <f t="shared" si="31"/>
        <v>19496</v>
      </c>
      <c r="P111" s="255">
        <f t="shared" si="31"/>
        <v>19496</v>
      </c>
      <c r="Q111" s="255">
        <f t="shared" si="31"/>
        <v>272</v>
      </c>
      <c r="R111" s="254" t="str">
        <f t="shared" si="31"/>
        <v/>
      </c>
      <c r="S111" s="260">
        <f t="shared" si="31"/>
        <v>1.1200000000000001</v>
      </c>
      <c r="T111" s="260">
        <f t="shared" si="31"/>
        <v>1.1200000000000001</v>
      </c>
      <c r="U111" s="260">
        <f t="shared" si="31"/>
        <v>1.1200000000000001</v>
      </c>
      <c r="V111" s="260">
        <f t="shared" si="31"/>
        <v>1.1200000000000001</v>
      </c>
      <c r="W111" s="260">
        <f t="shared" si="31"/>
        <v>1.1200000000000001</v>
      </c>
      <c r="X111" s="254" t="str">
        <f t="shared" si="31"/>
        <v/>
      </c>
      <c r="Y111" s="254" t="str">
        <f t="shared" si="31"/>
        <v/>
      </c>
      <c r="Z111" s="254" t="str">
        <f t="shared" si="31"/>
        <v/>
      </c>
      <c r="AA111" s="254" t="str">
        <f t="shared" si="31"/>
        <v/>
      </c>
      <c r="AB111" s="254" t="str">
        <f t="shared" si="31"/>
        <v/>
      </c>
      <c r="AC111" s="254" t="str">
        <f t="shared" si="31"/>
        <v/>
      </c>
      <c r="AD111" s="254" t="str">
        <f t="shared" si="31"/>
        <v/>
      </c>
      <c r="AE111" s="196">
        <f t="shared" si="31"/>
        <v>1</v>
      </c>
      <c r="AF111" s="196">
        <f t="shared" si="31"/>
        <v>1</v>
      </c>
      <c r="AG111" s="196" t="str">
        <f t="shared" si="31"/>
        <v/>
      </c>
      <c r="AH111" s="254" t="str">
        <f t="shared" si="31"/>
        <v/>
      </c>
      <c r="AI111" s="254" t="str">
        <f t="shared" si="31"/>
        <v/>
      </c>
      <c r="AJ111" s="254" t="str">
        <f t="shared" si="31"/>
        <v/>
      </c>
      <c r="AK111" s="254" t="str">
        <f t="shared" si="31"/>
        <v/>
      </c>
      <c r="AL111" s="254" t="str">
        <f t="shared" si="31"/>
        <v/>
      </c>
      <c r="AM111" s="254" t="str">
        <f t="shared" si="31"/>
        <v/>
      </c>
      <c r="AN111" s="254" t="str">
        <f t="shared" si="31"/>
        <v/>
      </c>
      <c r="AO111" s="254" t="str">
        <f t="shared" si="31"/>
        <v/>
      </c>
      <c r="AP111" s="254"/>
      <c r="AQ111" s="254" t="str">
        <f t="shared" si="31"/>
        <v/>
      </c>
      <c r="AR111" s="205"/>
      <c r="AS111" s="205"/>
      <c r="AT111" s="205"/>
    </row>
    <row r="112" spans="1:46" s="173" customFormat="1" x14ac:dyDescent="0.2">
      <c r="A112" s="201" t="s">
        <v>634</v>
      </c>
      <c r="B112" s="201" t="s">
        <v>724</v>
      </c>
      <c r="C112" s="201" t="s">
        <v>642</v>
      </c>
      <c r="D112" s="201" t="s">
        <v>438</v>
      </c>
      <c r="E112" s="190" t="str">
        <f t="shared" si="28"/>
        <v>GHP – adsorption heat pump brine to water + Solar thermal collectors + add costs</v>
      </c>
      <c r="F112" s="254" t="str">
        <f t="shared" si="28"/>
        <v>RSDGAS, RSDLPG, RSDBGS</v>
      </c>
      <c r="G112" s="254" t="str">
        <f t="shared" si="28"/>
        <v>RSDAHT</v>
      </c>
      <c r="H112" s="205" t="s">
        <v>714</v>
      </c>
      <c r="I112" s="205"/>
      <c r="J112" s="205"/>
      <c r="K112" s="254">
        <f t="shared" si="31"/>
        <v>20</v>
      </c>
      <c r="L112" s="255">
        <f t="shared" si="31"/>
        <v>21445.600000000002</v>
      </c>
      <c r="M112" s="255">
        <f t="shared" si="31"/>
        <v>21445.600000000002</v>
      </c>
      <c r="N112" s="255">
        <f t="shared" si="31"/>
        <v>21445.600000000002</v>
      </c>
      <c r="O112" s="255">
        <f t="shared" si="31"/>
        <v>21445.600000000002</v>
      </c>
      <c r="P112" s="255">
        <f t="shared" si="31"/>
        <v>21445.600000000002</v>
      </c>
      <c r="Q112" s="255">
        <f t="shared" si="31"/>
        <v>299.20000000000005</v>
      </c>
      <c r="R112" s="254" t="str">
        <f t="shared" si="31"/>
        <v/>
      </c>
      <c r="S112" s="260">
        <f t="shared" si="31"/>
        <v>1.1200000000000001</v>
      </c>
      <c r="T112" s="260">
        <f t="shared" si="31"/>
        <v>1.1200000000000001</v>
      </c>
      <c r="U112" s="260">
        <f t="shared" si="31"/>
        <v>1.1200000000000001</v>
      </c>
      <c r="V112" s="260">
        <f t="shared" si="31"/>
        <v>1.1200000000000001</v>
      </c>
      <c r="W112" s="260">
        <f t="shared" si="31"/>
        <v>1.1200000000000001</v>
      </c>
      <c r="X112" s="254" t="str">
        <f t="shared" si="31"/>
        <v/>
      </c>
      <c r="Y112" s="254" t="str">
        <f t="shared" si="31"/>
        <v/>
      </c>
      <c r="Z112" s="254" t="str">
        <f t="shared" si="31"/>
        <v/>
      </c>
      <c r="AA112" s="254" t="str">
        <f t="shared" si="31"/>
        <v/>
      </c>
      <c r="AB112" s="254" t="str">
        <f t="shared" si="31"/>
        <v/>
      </c>
      <c r="AC112" s="254" t="str">
        <f t="shared" si="31"/>
        <v/>
      </c>
      <c r="AD112" s="254" t="str">
        <f t="shared" si="31"/>
        <v/>
      </c>
      <c r="AE112" s="196">
        <f t="shared" si="31"/>
        <v>1</v>
      </c>
      <c r="AF112" s="196">
        <f t="shared" si="31"/>
        <v>1</v>
      </c>
      <c r="AG112" s="196">
        <f t="shared" si="31"/>
        <v>1</v>
      </c>
      <c r="AH112" s="254" t="str">
        <f t="shared" si="31"/>
        <v/>
      </c>
      <c r="AI112" s="254" t="str">
        <f t="shared" si="31"/>
        <v/>
      </c>
      <c r="AJ112" s="254" t="str">
        <f t="shared" si="31"/>
        <v/>
      </c>
      <c r="AK112" s="254" t="str">
        <f t="shared" si="31"/>
        <v/>
      </c>
      <c r="AL112" s="254" t="str">
        <f t="shared" si="31"/>
        <v/>
      </c>
      <c r="AM112" s="254" t="str">
        <f t="shared" si="31"/>
        <v/>
      </c>
      <c r="AN112" s="254">
        <f t="shared" si="31"/>
        <v>1.1000000000000001</v>
      </c>
      <c r="AO112" s="254" t="str">
        <f t="shared" si="31"/>
        <v/>
      </c>
      <c r="AP112" s="254"/>
      <c r="AQ112" s="254" t="str">
        <f t="shared" si="31"/>
        <v/>
      </c>
      <c r="AR112" s="205"/>
      <c r="AS112" s="205"/>
      <c r="AT112" s="205"/>
    </row>
    <row r="113" spans="1:46" s="173" customFormat="1" x14ac:dyDescent="0.2">
      <c r="A113" s="201" t="s">
        <v>634</v>
      </c>
      <c r="B113" s="201" t="s">
        <v>725</v>
      </c>
      <c r="C113" s="201" t="s">
        <v>644</v>
      </c>
      <c r="D113" s="201" t="s">
        <v>438</v>
      </c>
      <c r="E113" s="190" t="str">
        <f t="shared" si="28"/>
        <v>GHP – gas engine driven heat pump air/brine to water</v>
      </c>
      <c r="F113" s="254" t="str">
        <f t="shared" si="28"/>
        <v>RSDGAS, RSDLPG, RSDBGS</v>
      </c>
      <c r="G113" s="254" t="str">
        <f t="shared" si="28"/>
        <v>RSDAHT</v>
      </c>
      <c r="H113" s="201" t="s">
        <v>704</v>
      </c>
      <c r="I113" s="205"/>
      <c r="J113" s="205"/>
      <c r="K113" s="254">
        <f t="shared" si="31"/>
        <v>20</v>
      </c>
      <c r="L113" s="255">
        <f t="shared" si="31"/>
        <v>47500</v>
      </c>
      <c r="M113" s="255">
        <f t="shared" si="31"/>
        <v>47500</v>
      </c>
      <c r="N113" s="255">
        <f t="shared" si="31"/>
        <v>47500</v>
      </c>
      <c r="O113" s="255">
        <f t="shared" si="31"/>
        <v>47500</v>
      </c>
      <c r="P113" s="255">
        <f t="shared" si="31"/>
        <v>47500</v>
      </c>
      <c r="Q113" s="255">
        <f t="shared" si="31"/>
        <v>135</v>
      </c>
      <c r="R113" s="254" t="str">
        <f t="shared" si="31"/>
        <v/>
      </c>
      <c r="S113" s="260">
        <f t="shared" si="31"/>
        <v>1.5</v>
      </c>
      <c r="T113" s="260">
        <f t="shared" si="31"/>
        <v>1.55</v>
      </c>
      <c r="U113" s="260">
        <f t="shared" si="31"/>
        <v>1.55</v>
      </c>
      <c r="V113" s="260">
        <f t="shared" si="31"/>
        <v>1.6</v>
      </c>
      <c r="W113" s="260">
        <f t="shared" si="31"/>
        <v>1.6</v>
      </c>
      <c r="X113" s="254" t="str">
        <f t="shared" si="31"/>
        <v/>
      </c>
      <c r="Y113" s="254" t="str">
        <f t="shared" si="31"/>
        <v/>
      </c>
      <c r="Z113" s="254" t="str">
        <f t="shared" si="31"/>
        <v/>
      </c>
      <c r="AA113" s="254" t="str">
        <f t="shared" si="31"/>
        <v/>
      </c>
      <c r="AB113" s="254" t="str">
        <f t="shared" si="31"/>
        <v/>
      </c>
      <c r="AC113" s="254" t="str">
        <f t="shared" si="31"/>
        <v/>
      </c>
      <c r="AD113" s="254" t="str">
        <f t="shared" si="31"/>
        <v/>
      </c>
      <c r="AE113" s="196">
        <f t="shared" si="31"/>
        <v>1</v>
      </c>
      <c r="AF113" s="196">
        <f t="shared" si="31"/>
        <v>1</v>
      </c>
      <c r="AG113" s="196" t="str">
        <f t="shared" si="31"/>
        <v/>
      </c>
      <c r="AH113" s="254" t="str">
        <f t="shared" si="31"/>
        <v/>
      </c>
      <c r="AI113" s="254" t="str">
        <f t="shared" si="31"/>
        <v/>
      </c>
      <c r="AJ113" s="254" t="str">
        <f t="shared" si="31"/>
        <v/>
      </c>
      <c r="AK113" s="254" t="str">
        <f t="shared" si="31"/>
        <v/>
      </c>
      <c r="AL113" s="254" t="str">
        <f t="shared" si="31"/>
        <v/>
      </c>
      <c r="AM113" s="254" t="str">
        <f t="shared" si="31"/>
        <v/>
      </c>
      <c r="AN113" s="254" t="str">
        <f t="shared" si="31"/>
        <v/>
      </c>
      <c r="AO113" s="254" t="str">
        <f t="shared" si="31"/>
        <v/>
      </c>
      <c r="AP113" s="254"/>
      <c r="AQ113" s="254" t="str">
        <f t="shared" si="31"/>
        <v>Data missing. NE data used</v>
      </c>
      <c r="AR113" s="205"/>
      <c r="AS113" s="205"/>
      <c r="AT113" s="205"/>
    </row>
    <row r="114" spans="1:46" s="175" customFormat="1" x14ac:dyDescent="0.2">
      <c r="A114" s="206" t="s">
        <v>634</v>
      </c>
      <c r="B114" s="206" t="s">
        <v>726</v>
      </c>
      <c r="C114" s="206" t="s">
        <v>647</v>
      </c>
      <c r="D114" s="206" t="s">
        <v>438</v>
      </c>
      <c r="E114" s="191" t="str">
        <f t="shared" si="28"/>
        <v>GHP – gas engine driven heat pump air/brine to water + add costs</v>
      </c>
      <c r="F114" s="257" t="str">
        <f t="shared" si="28"/>
        <v>RSDGAS, RSDLPG, RSDBGS</v>
      </c>
      <c r="G114" s="257" t="str">
        <f t="shared" si="28"/>
        <v>RSDAHT</v>
      </c>
      <c r="H114" s="206" t="s">
        <v>714</v>
      </c>
      <c r="I114" s="206"/>
      <c r="J114" s="206"/>
      <c r="K114" s="257">
        <f t="shared" si="31"/>
        <v>20</v>
      </c>
      <c r="L114" s="258">
        <f t="shared" si="31"/>
        <v>52250.000000000007</v>
      </c>
      <c r="M114" s="258">
        <f t="shared" si="31"/>
        <v>52250.000000000007</v>
      </c>
      <c r="N114" s="258">
        <f t="shared" si="31"/>
        <v>52250.000000000007</v>
      </c>
      <c r="O114" s="258">
        <f t="shared" si="31"/>
        <v>52250.000000000007</v>
      </c>
      <c r="P114" s="258">
        <f t="shared" si="31"/>
        <v>52250.000000000007</v>
      </c>
      <c r="Q114" s="258">
        <f t="shared" si="31"/>
        <v>148.5</v>
      </c>
      <c r="R114" s="257" t="str">
        <f t="shared" si="31"/>
        <v/>
      </c>
      <c r="S114" s="261">
        <f t="shared" si="31"/>
        <v>1.5</v>
      </c>
      <c r="T114" s="261">
        <f t="shared" si="31"/>
        <v>1.55</v>
      </c>
      <c r="U114" s="261">
        <f t="shared" si="31"/>
        <v>1.55</v>
      </c>
      <c r="V114" s="261">
        <f t="shared" si="31"/>
        <v>1.6</v>
      </c>
      <c r="W114" s="261">
        <f t="shared" si="31"/>
        <v>1.6</v>
      </c>
      <c r="X114" s="257" t="str">
        <f t="shared" si="31"/>
        <v/>
      </c>
      <c r="Y114" s="257" t="str">
        <f t="shared" si="31"/>
        <v/>
      </c>
      <c r="Z114" s="257" t="str">
        <f t="shared" si="31"/>
        <v/>
      </c>
      <c r="AA114" s="257" t="str">
        <f t="shared" si="31"/>
        <v/>
      </c>
      <c r="AB114" s="257" t="str">
        <f t="shared" si="31"/>
        <v/>
      </c>
      <c r="AC114" s="257" t="str">
        <f t="shared" si="31"/>
        <v/>
      </c>
      <c r="AD114" s="257" t="str">
        <f t="shared" si="31"/>
        <v/>
      </c>
      <c r="AE114" s="197">
        <f t="shared" si="31"/>
        <v>1</v>
      </c>
      <c r="AF114" s="197">
        <f t="shared" si="31"/>
        <v>1</v>
      </c>
      <c r="AG114" s="197">
        <f t="shared" si="31"/>
        <v>1</v>
      </c>
      <c r="AH114" s="257" t="str">
        <f t="shared" si="31"/>
        <v/>
      </c>
      <c r="AI114" s="257" t="str">
        <f t="shared" si="31"/>
        <v/>
      </c>
      <c r="AJ114" s="257" t="str">
        <f t="shared" si="31"/>
        <v/>
      </c>
      <c r="AK114" s="257" t="str">
        <f t="shared" si="31"/>
        <v/>
      </c>
      <c r="AL114" s="257" t="str">
        <f t="shared" si="31"/>
        <v/>
      </c>
      <c r="AM114" s="257" t="str">
        <f t="shared" si="31"/>
        <v/>
      </c>
      <c r="AN114" s="257">
        <f t="shared" si="31"/>
        <v>1.1000000000000001</v>
      </c>
      <c r="AO114" s="257" t="str">
        <f t="shared" si="31"/>
        <v/>
      </c>
      <c r="AP114" s="257"/>
      <c r="AQ114" s="257" t="str">
        <f t="shared" si="31"/>
        <v/>
      </c>
      <c r="AR114" s="206"/>
      <c r="AS114" s="206"/>
      <c r="AT114" s="206"/>
    </row>
    <row r="115" spans="1:46" s="173" customFormat="1" x14ac:dyDescent="0.2">
      <c r="A115" s="207" t="s">
        <v>388</v>
      </c>
      <c r="B115" s="201" t="s">
        <v>727</v>
      </c>
      <c r="C115" s="205" t="s">
        <v>649</v>
      </c>
      <c r="D115" s="205" t="s">
        <v>438</v>
      </c>
      <c r="E115" s="190" t="str">
        <f t="shared" si="28"/>
        <v>CHP engines – micro turbine</v>
      </c>
      <c r="F115" s="254" t="str">
        <f t="shared" si="28"/>
        <v>RSDGAS, RSDLPG, RSDBGS</v>
      </c>
      <c r="G115" s="254" t="str">
        <f t="shared" si="28"/>
        <v/>
      </c>
      <c r="H115" s="201" t="s">
        <v>814</v>
      </c>
      <c r="I115" s="205"/>
      <c r="J115" s="205"/>
      <c r="K115" s="254">
        <f t="shared" si="31"/>
        <v>10</v>
      </c>
      <c r="L115" s="255">
        <f t="shared" si="31"/>
        <v>103980</v>
      </c>
      <c r="M115" s="255">
        <f t="shared" si="31"/>
        <v>103980</v>
      </c>
      <c r="N115" s="255">
        <f t="shared" si="31"/>
        <v>77985</v>
      </c>
      <c r="O115" s="255">
        <f t="shared" si="31"/>
        <v>77985</v>
      </c>
      <c r="P115" s="255">
        <f t="shared" si="31"/>
        <v>62388</v>
      </c>
      <c r="Q115" s="255" t="str">
        <f t="shared" si="31"/>
        <v/>
      </c>
      <c r="R115" s="254" t="str">
        <f t="shared" si="31"/>
        <v/>
      </c>
      <c r="S115" s="256">
        <f t="shared" si="31"/>
        <v>0.26</v>
      </c>
      <c r="T115" s="256">
        <f t="shared" si="31"/>
        <v>0.26</v>
      </c>
      <c r="U115" s="256">
        <f t="shared" si="31"/>
        <v>0.26</v>
      </c>
      <c r="V115" s="256">
        <f t="shared" si="31"/>
        <v>0.26</v>
      </c>
      <c r="W115" s="256">
        <f t="shared" si="31"/>
        <v>0.26</v>
      </c>
      <c r="X115" s="254" t="str">
        <f t="shared" si="31"/>
        <v/>
      </c>
      <c r="Y115" s="254" t="str">
        <f t="shared" si="31"/>
        <v/>
      </c>
      <c r="Z115" s="254" t="str">
        <f t="shared" si="31"/>
        <v/>
      </c>
      <c r="AA115" s="254" t="str">
        <f t="shared" si="31"/>
        <v/>
      </c>
      <c r="AB115" s="254" t="str">
        <f t="shared" si="31"/>
        <v/>
      </c>
      <c r="AC115" s="254" t="str">
        <f t="shared" si="31"/>
        <v/>
      </c>
      <c r="AD115" s="254" t="str">
        <f t="shared" si="31"/>
        <v/>
      </c>
      <c r="AE115" s="196">
        <f t="shared" si="31"/>
        <v>0.6</v>
      </c>
      <c r="AF115" s="196" t="str">
        <f t="shared" si="31"/>
        <v/>
      </c>
      <c r="AG115" s="196" t="str">
        <f t="shared" si="31"/>
        <v/>
      </c>
      <c r="AH115" s="254">
        <f t="shared" si="31"/>
        <v>2.4615384615384617</v>
      </c>
      <c r="AI115" s="254">
        <f t="shared" si="31"/>
        <v>2.4615384615384617</v>
      </c>
      <c r="AJ115" s="254">
        <f t="shared" si="31"/>
        <v>2.4615384615384617</v>
      </c>
      <c r="AK115" s="254">
        <f t="shared" si="31"/>
        <v>0.9</v>
      </c>
      <c r="AL115" s="254">
        <f t="shared" si="31"/>
        <v>0.9</v>
      </c>
      <c r="AM115" s="254">
        <f t="shared" si="31"/>
        <v>0.9</v>
      </c>
      <c r="AN115" s="254" t="str">
        <f t="shared" si="31"/>
        <v/>
      </c>
      <c r="AO115" s="254" t="str">
        <f t="shared" si="31"/>
        <v>n/a</v>
      </c>
      <c r="AP115" s="254"/>
      <c r="AQ115" s="254" t="str">
        <f t="shared" si="31"/>
        <v/>
      </c>
      <c r="AR115" s="205"/>
      <c r="AS115" s="205"/>
      <c r="AT115" s="205"/>
    </row>
    <row r="116" spans="1:46" s="173" customFormat="1" x14ac:dyDescent="0.2">
      <c r="A116" s="207" t="s">
        <v>388</v>
      </c>
      <c r="B116" s="201" t="s">
        <v>728</v>
      </c>
      <c r="C116" s="205" t="s">
        <v>696</v>
      </c>
      <c r="D116" s="205" t="s">
        <v>438</v>
      </c>
      <c r="E116" s="190" t="str">
        <f t="shared" si="28"/>
        <v>CHP engines – micro turbine</v>
      </c>
      <c r="F116" s="254" t="str">
        <f t="shared" si="28"/>
        <v>RSDOIL, RSDBDL</v>
      </c>
      <c r="G116" s="254" t="str">
        <f t="shared" si="28"/>
        <v/>
      </c>
      <c r="H116" s="201" t="s">
        <v>814</v>
      </c>
      <c r="I116" s="205"/>
      <c r="J116" s="205"/>
      <c r="K116" s="254">
        <f t="shared" si="31"/>
        <v>10</v>
      </c>
      <c r="L116" s="255">
        <f t="shared" si="31"/>
        <v>103980</v>
      </c>
      <c r="M116" s="255">
        <f t="shared" si="31"/>
        <v>103980</v>
      </c>
      <c r="N116" s="255">
        <f t="shared" si="31"/>
        <v>77985</v>
      </c>
      <c r="O116" s="255">
        <f t="shared" si="31"/>
        <v>77985</v>
      </c>
      <c r="P116" s="255">
        <f t="shared" si="31"/>
        <v>62388</v>
      </c>
      <c r="Q116" s="255" t="str">
        <f t="shared" si="31"/>
        <v/>
      </c>
      <c r="R116" s="254" t="str">
        <f t="shared" si="31"/>
        <v/>
      </c>
      <c r="S116" s="256">
        <f t="shared" si="31"/>
        <v>0.26</v>
      </c>
      <c r="T116" s="256">
        <f t="shared" si="31"/>
        <v>0.26</v>
      </c>
      <c r="U116" s="256">
        <f t="shared" si="31"/>
        <v>0.26</v>
      </c>
      <c r="V116" s="256">
        <f t="shared" si="31"/>
        <v>0.26</v>
      </c>
      <c r="W116" s="256">
        <f t="shared" si="31"/>
        <v>0.26</v>
      </c>
      <c r="X116" s="254" t="str">
        <f t="shared" si="31"/>
        <v/>
      </c>
      <c r="Y116" s="254" t="str">
        <f t="shared" si="31"/>
        <v/>
      </c>
      <c r="Z116" s="254" t="str">
        <f t="shared" si="31"/>
        <v/>
      </c>
      <c r="AA116" s="254" t="str">
        <f t="shared" si="31"/>
        <v/>
      </c>
      <c r="AB116" s="254" t="str">
        <f t="shared" si="31"/>
        <v/>
      </c>
      <c r="AC116" s="254" t="str">
        <f t="shared" si="31"/>
        <v/>
      </c>
      <c r="AD116" s="254" t="str">
        <f t="shared" si="31"/>
        <v/>
      </c>
      <c r="AE116" s="196">
        <f t="shared" si="31"/>
        <v>0.6</v>
      </c>
      <c r="AF116" s="196" t="str">
        <f t="shared" si="31"/>
        <v/>
      </c>
      <c r="AG116" s="196" t="str">
        <f t="shared" si="31"/>
        <v/>
      </c>
      <c r="AH116" s="254">
        <f t="shared" si="31"/>
        <v>2.4615384615384617</v>
      </c>
      <c r="AI116" s="254">
        <f t="shared" si="31"/>
        <v>2.4615384615384617</v>
      </c>
      <c r="AJ116" s="254">
        <f t="shared" si="31"/>
        <v>2.4615384615384617</v>
      </c>
      <c r="AK116" s="254">
        <f t="shared" si="31"/>
        <v>0.9</v>
      </c>
      <c r="AL116" s="254">
        <f t="shared" si="31"/>
        <v>0.9</v>
      </c>
      <c r="AM116" s="254">
        <f t="shared" si="31"/>
        <v>0.9</v>
      </c>
      <c r="AN116" s="254" t="str">
        <f t="shared" si="31"/>
        <v/>
      </c>
      <c r="AO116" s="254" t="str">
        <f t="shared" si="31"/>
        <v/>
      </c>
      <c r="AP116" s="254"/>
      <c r="AQ116" s="254" t="str">
        <f t="shared" si="31"/>
        <v/>
      </c>
      <c r="AR116" s="205"/>
      <c r="AS116" s="205"/>
      <c r="AT116" s="205"/>
    </row>
    <row r="117" spans="1:46" s="173" customFormat="1" x14ac:dyDescent="0.2">
      <c r="A117" s="207" t="s">
        <v>388</v>
      </c>
      <c r="B117" s="201" t="s">
        <v>729</v>
      </c>
      <c r="C117" s="201" t="s">
        <v>654</v>
      </c>
      <c r="D117" s="201" t="s">
        <v>438</v>
      </c>
      <c r="E117" s="190" t="str">
        <f t="shared" si="28"/>
        <v>CHP engines – internal combustion engine, natural gas</v>
      </c>
      <c r="F117" s="254" t="str">
        <f t="shared" si="28"/>
        <v>RSDGAS, RSDLPG, RSDBGS</v>
      </c>
      <c r="G117" s="254" t="str">
        <f t="shared" si="28"/>
        <v/>
      </c>
      <c r="H117" s="201" t="s">
        <v>814</v>
      </c>
      <c r="I117" s="205"/>
      <c r="J117" s="205"/>
      <c r="K117" s="254">
        <f t="shared" si="31"/>
        <v>10</v>
      </c>
      <c r="L117" s="255">
        <f t="shared" si="31"/>
        <v>23200</v>
      </c>
      <c r="M117" s="255">
        <f t="shared" si="31"/>
        <v>19070</v>
      </c>
      <c r="N117" s="255">
        <f t="shared" si="31"/>
        <v>16385.5</v>
      </c>
      <c r="O117" s="255">
        <f t="shared" si="31"/>
        <v>16385.5</v>
      </c>
      <c r="P117" s="255">
        <f t="shared" si="31"/>
        <v>16385.5</v>
      </c>
      <c r="Q117" s="255">
        <f t="shared" si="31"/>
        <v>310</v>
      </c>
      <c r="R117" s="254" t="str">
        <f t="shared" si="31"/>
        <v/>
      </c>
      <c r="S117" s="256">
        <f t="shared" si="31"/>
        <v>0.2</v>
      </c>
      <c r="T117" s="256">
        <f t="shared" si="31"/>
        <v>0.22</v>
      </c>
      <c r="U117" s="256">
        <f t="shared" si="31"/>
        <v>0.25</v>
      </c>
      <c r="V117" s="256" t="str">
        <f t="shared" si="31"/>
        <v/>
      </c>
      <c r="W117" s="256" t="str">
        <f t="shared" si="31"/>
        <v/>
      </c>
      <c r="X117" s="254" t="str">
        <f t="shared" si="31"/>
        <v/>
      </c>
      <c r="Y117" s="254" t="str">
        <f t="shared" si="31"/>
        <v/>
      </c>
      <c r="Z117" s="254" t="str">
        <f t="shared" si="31"/>
        <v/>
      </c>
      <c r="AA117" s="254" t="str">
        <f t="shared" si="31"/>
        <v/>
      </c>
      <c r="AB117" s="254" t="str">
        <f t="shared" si="31"/>
        <v/>
      </c>
      <c r="AC117" s="254" t="str">
        <f t="shared" si="31"/>
        <v/>
      </c>
      <c r="AD117" s="254" t="str">
        <f t="shared" si="31"/>
        <v/>
      </c>
      <c r="AE117" s="196">
        <f t="shared" si="31"/>
        <v>0.6</v>
      </c>
      <c r="AF117" s="196" t="str">
        <f t="shared" si="31"/>
        <v/>
      </c>
      <c r="AG117" s="196" t="str">
        <f t="shared" si="31"/>
        <v/>
      </c>
      <c r="AH117" s="254">
        <f t="shared" si="31"/>
        <v>2.25</v>
      </c>
      <c r="AI117" s="254">
        <f t="shared" si="31"/>
        <v>2.1818181818181817</v>
      </c>
      <c r="AJ117" s="254">
        <f t="shared" si="31"/>
        <v>1.9</v>
      </c>
      <c r="AK117" s="254">
        <f t="shared" si="31"/>
        <v>0.65</v>
      </c>
      <c r="AL117" s="254">
        <f t="shared" si="31"/>
        <v>0.7</v>
      </c>
      <c r="AM117" s="254">
        <f t="shared" si="31"/>
        <v>0.72499999999999998</v>
      </c>
      <c r="AN117" s="254" t="str">
        <f t="shared" si="31"/>
        <v/>
      </c>
      <c r="AO117" s="254" t="str">
        <f t="shared" si="31"/>
        <v>Y</v>
      </c>
      <c r="AP117" s="254"/>
      <c r="AQ117" s="254" t="str">
        <f t="shared" ref="AQ117" si="32">IF(AQ35="","",AQ35)</f>
        <v>The mechanical (or electrical) efficiency of a gas engine is around 20 % as annual average for micro-CHP units and 28-36 % for mini CHP units. The combined efficiency (electricity and heat) is on the level of 80-90 %.</v>
      </c>
      <c r="AR117" s="205"/>
      <c r="AS117" s="205"/>
      <c r="AT117" s="205"/>
    </row>
    <row r="118" spans="1:46" s="173" customFormat="1" x14ac:dyDescent="0.2">
      <c r="A118" s="207" t="s">
        <v>388</v>
      </c>
      <c r="B118" s="201" t="s">
        <v>730</v>
      </c>
      <c r="C118" s="201" t="s">
        <v>657</v>
      </c>
      <c r="D118" s="201" t="s">
        <v>438</v>
      </c>
      <c r="E118" s="190" t="str">
        <f t="shared" ref="E118:G123" si="33">IF(E36="","",E36)</f>
        <v>CHP engines – internal combustion engine, diesel</v>
      </c>
      <c r="F118" s="254" t="str">
        <f t="shared" si="33"/>
        <v>RSDOIL, RSDBDL</v>
      </c>
      <c r="G118" s="254" t="str">
        <f t="shared" si="33"/>
        <v/>
      </c>
      <c r="H118" s="201" t="s">
        <v>814</v>
      </c>
      <c r="I118" s="205"/>
      <c r="J118" s="205"/>
      <c r="K118" s="254">
        <f t="shared" ref="K118:AQ123" si="34">IF(K36="","",K36)</f>
        <v>10</v>
      </c>
      <c r="L118" s="255">
        <f t="shared" si="34"/>
        <v>24000</v>
      </c>
      <c r="M118" s="255">
        <f t="shared" si="34"/>
        <v>19710</v>
      </c>
      <c r="N118" s="255">
        <f t="shared" si="34"/>
        <v>16921.5</v>
      </c>
      <c r="O118" s="255">
        <f t="shared" si="34"/>
        <v>16921.5</v>
      </c>
      <c r="P118" s="255">
        <f t="shared" si="34"/>
        <v>16921.5</v>
      </c>
      <c r="Q118" s="255">
        <f t="shared" si="34"/>
        <v>310</v>
      </c>
      <c r="R118" s="254" t="str">
        <f t="shared" si="34"/>
        <v/>
      </c>
      <c r="S118" s="256">
        <f t="shared" si="34"/>
        <v>0.2</v>
      </c>
      <c r="T118" s="256">
        <f t="shared" si="34"/>
        <v>0.22</v>
      </c>
      <c r="U118" s="256">
        <f t="shared" si="34"/>
        <v>0.25</v>
      </c>
      <c r="V118" s="256" t="str">
        <f t="shared" si="34"/>
        <v/>
      </c>
      <c r="W118" s="256" t="str">
        <f t="shared" si="34"/>
        <v/>
      </c>
      <c r="X118" s="254" t="str">
        <f t="shared" si="34"/>
        <v/>
      </c>
      <c r="Y118" s="254" t="str">
        <f t="shared" si="34"/>
        <v/>
      </c>
      <c r="Z118" s="254" t="str">
        <f t="shared" si="34"/>
        <v/>
      </c>
      <c r="AA118" s="254" t="str">
        <f t="shared" si="34"/>
        <v/>
      </c>
      <c r="AB118" s="254" t="str">
        <f t="shared" si="34"/>
        <v/>
      </c>
      <c r="AC118" s="254" t="str">
        <f t="shared" si="34"/>
        <v/>
      </c>
      <c r="AD118" s="254" t="str">
        <f t="shared" si="34"/>
        <v/>
      </c>
      <c r="AE118" s="196">
        <f t="shared" si="34"/>
        <v>0.6</v>
      </c>
      <c r="AF118" s="196" t="str">
        <f t="shared" si="34"/>
        <v/>
      </c>
      <c r="AG118" s="196" t="str">
        <f t="shared" si="34"/>
        <v/>
      </c>
      <c r="AH118" s="254">
        <f t="shared" si="34"/>
        <v>2.25</v>
      </c>
      <c r="AI118" s="254">
        <f t="shared" si="34"/>
        <v>2.1818181818181817</v>
      </c>
      <c r="AJ118" s="254">
        <f t="shared" si="34"/>
        <v>1.9</v>
      </c>
      <c r="AK118" s="254">
        <f t="shared" si="34"/>
        <v>0.65</v>
      </c>
      <c r="AL118" s="254">
        <f t="shared" si="34"/>
        <v>0.7</v>
      </c>
      <c r="AM118" s="254">
        <f t="shared" si="34"/>
        <v>0.72499999999999998</v>
      </c>
      <c r="AN118" s="254" t="str">
        <f t="shared" si="34"/>
        <v/>
      </c>
      <c r="AO118" s="254" t="str">
        <f t="shared" si="34"/>
        <v>Y</v>
      </c>
      <c r="AP118" s="254"/>
      <c r="AQ118" s="254" t="str">
        <f t="shared" si="34"/>
        <v/>
      </c>
      <c r="AR118" s="205"/>
      <c r="AS118" s="205"/>
      <c r="AT118" s="205"/>
    </row>
    <row r="119" spans="1:46" s="173" customFormat="1" x14ac:dyDescent="0.2">
      <c r="A119" s="207" t="s">
        <v>388</v>
      </c>
      <c r="B119" s="201" t="s">
        <v>731</v>
      </c>
      <c r="C119" s="201" t="s">
        <v>659</v>
      </c>
      <c r="D119" s="201" t="s">
        <v>438</v>
      </c>
      <c r="E119" s="190" t="str">
        <f t="shared" si="33"/>
        <v>CHP engines – Stirling engine</v>
      </c>
      <c r="F119" s="254" t="str">
        <f t="shared" si="33"/>
        <v>RSDGAS, RSDLPG, RSDBGS</v>
      </c>
      <c r="G119" s="254" t="str">
        <f t="shared" si="33"/>
        <v/>
      </c>
      <c r="H119" s="201" t="s">
        <v>814</v>
      </c>
      <c r="I119" s="205"/>
      <c r="J119" s="205"/>
      <c r="K119" s="254">
        <f t="shared" si="34"/>
        <v>10</v>
      </c>
      <c r="L119" s="255">
        <f t="shared" si="34"/>
        <v>18500</v>
      </c>
      <c r="M119" s="255">
        <f t="shared" si="34"/>
        <v>16750</v>
      </c>
      <c r="N119" s="255">
        <f t="shared" si="34"/>
        <v>14125</v>
      </c>
      <c r="O119" s="255">
        <f t="shared" si="34"/>
        <v>14125</v>
      </c>
      <c r="P119" s="255">
        <f t="shared" si="34"/>
        <v>14125</v>
      </c>
      <c r="Q119" s="255">
        <f t="shared" si="34"/>
        <v>250</v>
      </c>
      <c r="R119" s="254" t="str">
        <f t="shared" si="34"/>
        <v/>
      </c>
      <c r="S119" s="256">
        <f t="shared" si="34"/>
        <v>0.12</v>
      </c>
      <c r="T119" s="256">
        <f t="shared" si="34"/>
        <v>0.14000000000000001</v>
      </c>
      <c r="U119" s="256">
        <f t="shared" si="34"/>
        <v>0.16</v>
      </c>
      <c r="V119" s="256" t="str">
        <f t="shared" si="34"/>
        <v/>
      </c>
      <c r="W119" s="256" t="str">
        <f t="shared" si="34"/>
        <v/>
      </c>
      <c r="X119" s="254" t="str">
        <f t="shared" si="34"/>
        <v/>
      </c>
      <c r="Y119" s="254" t="str">
        <f t="shared" si="34"/>
        <v/>
      </c>
      <c r="Z119" s="254" t="str">
        <f t="shared" si="34"/>
        <v/>
      </c>
      <c r="AA119" s="254" t="str">
        <f t="shared" si="34"/>
        <v/>
      </c>
      <c r="AB119" s="254" t="str">
        <f t="shared" si="34"/>
        <v/>
      </c>
      <c r="AC119" s="254" t="str">
        <f t="shared" si="34"/>
        <v/>
      </c>
      <c r="AD119" s="254" t="str">
        <f t="shared" si="34"/>
        <v/>
      </c>
      <c r="AE119" s="196">
        <f t="shared" si="34"/>
        <v>0.6</v>
      </c>
      <c r="AF119" s="196" t="str">
        <f t="shared" si="34"/>
        <v/>
      </c>
      <c r="AG119" s="196" t="str">
        <f t="shared" si="34"/>
        <v/>
      </c>
      <c r="AH119" s="254">
        <f t="shared" si="34"/>
        <v>5.4583333333333339</v>
      </c>
      <c r="AI119" s="254">
        <f t="shared" si="34"/>
        <v>4.7142857142857144</v>
      </c>
      <c r="AJ119" s="254">
        <f t="shared" si="34"/>
        <v>4.1562499999999991</v>
      </c>
      <c r="AK119" s="254">
        <f t="shared" si="34"/>
        <v>0.77500000000000002</v>
      </c>
      <c r="AL119" s="254">
        <f t="shared" si="34"/>
        <v>0.8</v>
      </c>
      <c r="AM119" s="254">
        <f t="shared" si="34"/>
        <v>0.82499999999999996</v>
      </c>
      <c r="AN119" s="254" t="str">
        <f t="shared" si="34"/>
        <v/>
      </c>
      <c r="AO119" s="254" t="str">
        <f t="shared" si="34"/>
        <v>Y</v>
      </c>
      <c r="AP119" s="254"/>
      <c r="AQ119" s="254" t="str">
        <f t="shared" si="34"/>
        <v>typically combined with a condensing natural gas boiler for peak loads</v>
      </c>
      <c r="AR119" s="205"/>
      <c r="AS119" s="205"/>
      <c r="AT119" s="205"/>
    </row>
    <row r="120" spans="1:46" s="173" customFormat="1" x14ac:dyDescent="0.2">
      <c r="A120" s="207" t="s">
        <v>388</v>
      </c>
      <c r="B120" s="201" t="s">
        <v>732</v>
      </c>
      <c r="C120" s="201" t="s">
        <v>662</v>
      </c>
      <c r="D120" s="201" t="s">
        <v>438</v>
      </c>
      <c r="E120" s="190" t="str">
        <f t="shared" si="33"/>
        <v>CHP fuel cells – natural gas fuel cell</v>
      </c>
      <c r="F120" s="254" t="str">
        <f t="shared" si="33"/>
        <v>RSDGAS</v>
      </c>
      <c r="G120" s="254" t="str">
        <f t="shared" si="33"/>
        <v/>
      </c>
      <c r="H120" s="201" t="s">
        <v>814</v>
      </c>
      <c r="I120" s="205"/>
      <c r="J120" s="205"/>
      <c r="K120" s="254">
        <f t="shared" si="34"/>
        <v>10</v>
      </c>
      <c r="L120" s="255">
        <f t="shared" si="34"/>
        <v>21491</v>
      </c>
      <c r="M120" s="255">
        <f t="shared" si="34"/>
        <v>21491</v>
      </c>
      <c r="N120" s="255">
        <f t="shared" si="34"/>
        <v>9091</v>
      </c>
      <c r="O120" s="255">
        <f t="shared" si="34"/>
        <v>9091</v>
      </c>
      <c r="P120" s="255">
        <f t="shared" si="34"/>
        <v>4131</v>
      </c>
      <c r="Q120" s="255">
        <f t="shared" si="34"/>
        <v>274</v>
      </c>
      <c r="R120" s="254" t="str">
        <f t="shared" si="34"/>
        <v/>
      </c>
      <c r="S120" s="256">
        <f t="shared" si="34"/>
        <v>0.375</v>
      </c>
      <c r="T120" s="256">
        <f t="shared" si="34"/>
        <v>0.45</v>
      </c>
      <c r="U120" s="256">
        <f t="shared" si="34"/>
        <v>0.47499999999999998</v>
      </c>
      <c r="V120" s="256" t="str">
        <f t="shared" si="34"/>
        <v/>
      </c>
      <c r="W120" s="256" t="str">
        <f t="shared" si="34"/>
        <v/>
      </c>
      <c r="X120" s="254" t="str">
        <f t="shared" si="34"/>
        <v/>
      </c>
      <c r="Y120" s="254" t="str">
        <f t="shared" si="34"/>
        <v/>
      </c>
      <c r="Z120" s="254" t="str">
        <f t="shared" si="34"/>
        <v/>
      </c>
      <c r="AA120" s="254" t="str">
        <f t="shared" si="34"/>
        <v/>
      </c>
      <c r="AB120" s="254" t="str">
        <f t="shared" si="34"/>
        <v/>
      </c>
      <c r="AC120" s="254" t="str">
        <f t="shared" si="34"/>
        <v/>
      </c>
      <c r="AD120" s="254" t="str">
        <f t="shared" si="34"/>
        <v/>
      </c>
      <c r="AE120" s="196">
        <f t="shared" si="34"/>
        <v>0.6</v>
      </c>
      <c r="AF120" s="196" t="str">
        <f t="shared" si="34"/>
        <v/>
      </c>
      <c r="AG120" s="196" t="str">
        <f t="shared" si="34"/>
        <v/>
      </c>
      <c r="AH120" s="254">
        <f t="shared" si="34"/>
        <v>0.46666666666666679</v>
      </c>
      <c r="AI120" s="254">
        <f t="shared" si="34"/>
        <v>0.16666666666666669</v>
      </c>
      <c r="AJ120" s="254">
        <f t="shared" si="34"/>
        <v>0.10526315789473695</v>
      </c>
      <c r="AK120" s="254">
        <f t="shared" si="34"/>
        <v>0.55000000000000004</v>
      </c>
      <c r="AL120" s="254">
        <f t="shared" si="34"/>
        <v>0.52500000000000002</v>
      </c>
      <c r="AM120" s="254">
        <f t="shared" si="34"/>
        <v>0.52500000000000002</v>
      </c>
      <c r="AN120" s="254" t="str">
        <f t="shared" si="34"/>
        <v/>
      </c>
      <c r="AO120" s="254" t="str">
        <f t="shared" si="34"/>
        <v>Y</v>
      </c>
      <c r="AP120" s="254"/>
      <c r="AQ120" s="254" t="str">
        <f t="shared" si="34"/>
        <v>Includes auxiliary boiler and storage (also for tap water). The micro CHP unit will cover approx. 50-70 % of the total heat demand (from NE)</v>
      </c>
      <c r="AR120" s="205"/>
      <c r="AS120" s="205"/>
      <c r="AT120" s="205"/>
    </row>
    <row r="121" spans="1:46" s="173" customFormat="1" x14ac:dyDescent="0.2">
      <c r="A121" s="209" t="s">
        <v>388</v>
      </c>
      <c r="B121" s="205" t="s">
        <v>733</v>
      </c>
      <c r="C121" s="205" t="s">
        <v>665</v>
      </c>
      <c r="D121" s="205" t="s">
        <v>438</v>
      </c>
      <c r="E121" s="190" t="str">
        <f t="shared" si="33"/>
        <v>CHP fuel cells – hydrogen fuel cell</v>
      </c>
      <c r="F121" s="254" t="str">
        <f t="shared" si="33"/>
        <v>RSDHH2</v>
      </c>
      <c r="G121" s="254" t="str">
        <f t="shared" si="33"/>
        <v/>
      </c>
      <c r="H121" s="201" t="s">
        <v>814</v>
      </c>
      <c r="I121" s="205"/>
      <c r="J121" s="205"/>
      <c r="K121" s="254">
        <f t="shared" si="34"/>
        <v>10</v>
      </c>
      <c r="L121" s="255">
        <f t="shared" si="34"/>
        <v>13000</v>
      </c>
      <c r="M121" s="255">
        <f t="shared" si="34"/>
        <v>6900</v>
      </c>
      <c r="N121" s="255">
        <f t="shared" si="34"/>
        <v>5100</v>
      </c>
      <c r="O121" s="255" t="str">
        <f t="shared" si="34"/>
        <v/>
      </c>
      <c r="P121" s="255" t="str">
        <f t="shared" si="34"/>
        <v/>
      </c>
      <c r="Q121" s="255">
        <f t="shared" si="34"/>
        <v>500</v>
      </c>
      <c r="R121" s="254" t="str">
        <f t="shared" si="34"/>
        <v/>
      </c>
      <c r="S121" s="256">
        <f t="shared" si="34"/>
        <v>0.47499999999999998</v>
      </c>
      <c r="T121" s="256">
        <f t="shared" si="34"/>
        <v>0.505</v>
      </c>
      <c r="U121" s="256">
        <f t="shared" si="34"/>
        <v>0.54500000000000004</v>
      </c>
      <c r="V121" s="256" t="str">
        <f t="shared" si="34"/>
        <v/>
      </c>
      <c r="W121" s="256" t="str">
        <f t="shared" si="34"/>
        <v/>
      </c>
      <c r="X121" s="254" t="str">
        <f t="shared" si="34"/>
        <v/>
      </c>
      <c r="Y121" s="254" t="str">
        <f t="shared" si="34"/>
        <v/>
      </c>
      <c r="Z121" s="254" t="str">
        <f t="shared" si="34"/>
        <v/>
      </c>
      <c r="AA121" s="254" t="str">
        <f t="shared" si="34"/>
        <v/>
      </c>
      <c r="AB121" s="254" t="str">
        <f t="shared" si="34"/>
        <v/>
      </c>
      <c r="AC121" s="254" t="str">
        <f t="shared" si="34"/>
        <v/>
      </c>
      <c r="AD121" s="254" t="str">
        <f t="shared" si="34"/>
        <v/>
      </c>
      <c r="AE121" s="196">
        <f t="shared" si="34"/>
        <v>0.6</v>
      </c>
      <c r="AF121" s="196" t="str">
        <f t="shared" si="34"/>
        <v/>
      </c>
      <c r="AG121" s="196" t="str">
        <f t="shared" si="34"/>
        <v/>
      </c>
      <c r="AH121" s="254">
        <f t="shared" si="34"/>
        <v>-0.15789473684210517</v>
      </c>
      <c r="AI121" s="254">
        <f t="shared" si="34"/>
        <v>-0.12871287128712872</v>
      </c>
      <c r="AJ121" s="254">
        <f t="shared" si="34"/>
        <v>-0.17431192660550462</v>
      </c>
      <c r="AK121" s="254">
        <f t="shared" si="34"/>
        <v>0.4</v>
      </c>
      <c r="AL121" s="254">
        <f t="shared" si="34"/>
        <v>0.44</v>
      </c>
      <c r="AM121" s="254">
        <f t="shared" si="34"/>
        <v>0.45</v>
      </c>
      <c r="AN121" s="254" t="str">
        <f t="shared" si="34"/>
        <v/>
      </c>
      <c r="AO121" s="254" t="str">
        <f t="shared" si="34"/>
        <v>Y</v>
      </c>
      <c r="AP121" s="254"/>
      <c r="AQ121" s="254" t="str">
        <f t="shared" si="34"/>
        <v>The micro CHP unit will cover approx. 50-70 % of the total heat demand. The remaining part should be supplied from a supplementary heater/burner. Electroliser EFF not included (from NE)</v>
      </c>
      <c r="AR121" s="205"/>
      <c r="AS121" s="205"/>
      <c r="AT121" s="205"/>
    </row>
    <row r="122" spans="1:46" s="173" customFormat="1" x14ac:dyDescent="0.2">
      <c r="A122" s="202" t="s">
        <v>799</v>
      </c>
      <c r="B122" s="201" t="str">
        <f>LEFT(B115,11)&amp;"-"&amp;RIGHT(F122,3)&amp;"spl"</f>
        <v>R_ES-CHP-SD-GASspl</v>
      </c>
      <c r="C122" s="203" t="s">
        <v>667</v>
      </c>
      <c r="D122" s="203" t="s">
        <v>438</v>
      </c>
      <c r="E122" s="190" t="str">
        <f t="shared" si="33"/>
        <v>HOB-gas</v>
      </c>
      <c r="F122" s="254" t="str">
        <f t="shared" si="33"/>
        <v>RSDLPG, RSDBGS, RSDGAS</v>
      </c>
      <c r="G122" s="254" t="str">
        <f t="shared" si="33"/>
        <v/>
      </c>
      <c r="H122" s="205" t="s">
        <v>704</v>
      </c>
      <c r="I122" s="205"/>
      <c r="J122" s="205"/>
      <c r="K122" s="254">
        <f t="shared" si="34"/>
        <v>20</v>
      </c>
      <c r="L122" s="255">
        <f t="shared" si="34"/>
        <v>4309</v>
      </c>
      <c r="M122" s="255">
        <f t="shared" si="34"/>
        <v>4309</v>
      </c>
      <c r="N122" s="255">
        <f t="shared" si="34"/>
        <v>4309</v>
      </c>
      <c r="O122" s="255">
        <f t="shared" si="34"/>
        <v>4309</v>
      </c>
      <c r="P122" s="255">
        <f t="shared" si="34"/>
        <v>4309</v>
      </c>
      <c r="Q122" s="255">
        <f t="shared" si="34"/>
        <v>226</v>
      </c>
      <c r="R122" s="254" t="str">
        <f t="shared" si="34"/>
        <v/>
      </c>
      <c r="S122" s="256">
        <f t="shared" si="34"/>
        <v>0.84679858006836706</v>
      </c>
      <c r="T122" s="256">
        <f t="shared" si="34"/>
        <v>0.84679858006836706</v>
      </c>
      <c r="U122" s="256">
        <f t="shared" si="34"/>
        <v>0.84679858006836706</v>
      </c>
      <c r="V122" s="256">
        <f t="shared" si="34"/>
        <v>0.84679858006836706</v>
      </c>
      <c r="W122" s="256">
        <f t="shared" si="34"/>
        <v>0.84679858006836706</v>
      </c>
      <c r="X122" s="254" t="str">
        <f t="shared" si="34"/>
        <v/>
      </c>
      <c r="Y122" s="254" t="str">
        <f t="shared" si="34"/>
        <v/>
      </c>
      <c r="Z122" s="254" t="str">
        <f t="shared" si="34"/>
        <v/>
      </c>
      <c r="AA122" s="254" t="str">
        <f t="shared" si="34"/>
        <v/>
      </c>
      <c r="AB122" s="254" t="str">
        <f t="shared" si="34"/>
        <v/>
      </c>
      <c r="AC122" s="254" t="str">
        <f t="shared" si="34"/>
        <v/>
      </c>
      <c r="AD122" s="254" t="str">
        <f t="shared" si="34"/>
        <v/>
      </c>
      <c r="AE122" s="196">
        <f t="shared" si="34"/>
        <v>0.4</v>
      </c>
      <c r="AF122" s="196">
        <f t="shared" si="34"/>
        <v>1</v>
      </c>
      <c r="AG122" s="196" t="str">
        <f t="shared" si="34"/>
        <v/>
      </c>
      <c r="AH122" s="254" t="str">
        <f t="shared" si="34"/>
        <v/>
      </c>
      <c r="AI122" s="254" t="str">
        <f t="shared" si="34"/>
        <v/>
      </c>
      <c r="AJ122" s="254" t="str">
        <f t="shared" si="34"/>
        <v/>
      </c>
      <c r="AK122" s="254" t="str">
        <f t="shared" si="34"/>
        <v/>
      </c>
      <c r="AL122" s="254" t="str">
        <f t="shared" si="34"/>
        <v/>
      </c>
      <c r="AM122" s="254" t="str">
        <f t="shared" si="34"/>
        <v/>
      </c>
      <c r="AN122" s="254" t="str">
        <f t="shared" si="34"/>
        <v/>
      </c>
      <c r="AO122" s="254" t="str">
        <f t="shared" si="34"/>
        <v/>
      </c>
      <c r="AP122" s="254"/>
      <c r="AQ122" s="254" t="str">
        <f t="shared" si="34"/>
        <v/>
      </c>
      <c r="AR122" s="205"/>
      <c r="AS122" s="205"/>
      <c r="AT122" s="205"/>
    </row>
    <row r="123" spans="1:46" s="175" customFormat="1" x14ac:dyDescent="0.2">
      <c r="A123" s="210" t="s">
        <v>799</v>
      </c>
      <c r="B123" s="206" t="str">
        <f>LEFT(B116,11)&amp;"-"&amp;RIGHT(F123,3)&amp;"spl"</f>
        <v>R_ES-CHP-SD-OILspl</v>
      </c>
      <c r="C123" s="208" t="s">
        <v>668</v>
      </c>
      <c r="D123" s="208" t="s">
        <v>438</v>
      </c>
      <c r="E123" s="191" t="str">
        <f t="shared" si="33"/>
        <v>HOB-oil</v>
      </c>
      <c r="F123" s="257" t="str">
        <f t="shared" si="33"/>
        <v>RSDBDL, RSDOIL</v>
      </c>
      <c r="G123" s="257" t="str">
        <f t="shared" si="33"/>
        <v/>
      </c>
      <c r="H123" s="206" t="s">
        <v>704</v>
      </c>
      <c r="I123" s="206"/>
      <c r="J123" s="206"/>
      <c r="K123" s="257">
        <f t="shared" si="34"/>
        <v>22</v>
      </c>
      <c r="L123" s="258">
        <f t="shared" si="34"/>
        <v>5527</v>
      </c>
      <c r="M123" s="258">
        <f t="shared" si="34"/>
        <v>5527</v>
      </c>
      <c r="N123" s="258">
        <f t="shared" si="34"/>
        <v>5527</v>
      </c>
      <c r="O123" s="258">
        <f t="shared" si="34"/>
        <v>5527</v>
      </c>
      <c r="P123" s="258">
        <f t="shared" si="34"/>
        <v>5527</v>
      </c>
      <c r="Q123" s="258">
        <f t="shared" si="34"/>
        <v>185</v>
      </c>
      <c r="R123" s="257" t="str">
        <f t="shared" si="34"/>
        <v/>
      </c>
      <c r="S123" s="259">
        <f t="shared" si="34"/>
        <v>0.84595205954248598</v>
      </c>
      <c r="T123" s="259">
        <f t="shared" si="34"/>
        <v>0.84595205954248598</v>
      </c>
      <c r="U123" s="259">
        <f t="shared" si="34"/>
        <v>0.84595205954248598</v>
      </c>
      <c r="V123" s="259">
        <f t="shared" si="34"/>
        <v>0.84595205954248598</v>
      </c>
      <c r="W123" s="259">
        <f t="shared" si="34"/>
        <v>0.84595205954248598</v>
      </c>
      <c r="X123" s="257" t="str">
        <f t="shared" si="34"/>
        <v/>
      </c>
      <c r="Y123" s="257" t="str">
        <f t="shared" si="34"/>
        <v/>
      </c>
      <c r="Z123" s="257" t="str">
        <f t="shared" si="34"/>
        <v/>
      </c>
      <c r="AA123" s="257" t="str">
        <f t="shared" si="34"/>
        <v/>
      </c>
      <c r="AB123" s="257" t="str">
        <f t="shared" si="34"/>
        <v/>
      </c>
      <c r="AC123" s="257" t="str">
        <f t="shared" si="34"/>
        <v/>
      </c>
      <c r="AD123" s="257" t="str">
        <f t="shared" si="34"/>
        <v/>
      </c>
      <c r="AE123" s="197">
        <f t="shared" si="34"/>
        <v>0.4</v>
      </c>
      <c r="AF123" s="197">
        <f t="shared" si="34"/>
        <v>1</v>
      </c>
      <c r="AG123" s="197" t="str">
        <f t="shared" si="34"/>
        <v/>
      </c>
      <c r="AH123" s="257" t="str">
        <f t="shared" si="34"/>
        <v/>
      </c>
      <c r="AI123" s="257" t="str">
        <f t="shared" si="34"/>
        <v/>
      </c>
      <c r="AJ123" s="257" t="str">
        <f t="shared" si="34"/>
        <v/>
      </c>
      <c r="AK123" s="257" t="str">
        <f t="shared" si="34"/>
        <v/>
      </c>
      <c r="AL123" s="257" t="str">
        <f t="shared" si="34"/>
        <v/>
      </c>
      <c r="AM123" s="257" t="str">
        <f t="shared" si="34"/>
        <v/>
      </c>
      <c r="AN123" s="257" t="str">
        <f t="shared" si="34"/>
        <v/>
      </c>
      <c r="AO123" s="257" t="str">
        <f t="shared" si="34"/>
        <v/>
      </c>
      <c r="AP123" s="257"/>
      <c r="AQ123" s="257" t="str">
        <f t="shared" si="34"/>
        <v/>
      </c>
      <c r="AR123" s="206"/>
      <c r="AS123" s="206"/>
      <c r="AT123" s="206"/>
    </row>
    <row r="124" spans="1:46" s="194" customFormat="1" x14ac:dyDescent="0.2">
      <c r="A124" s="211"/>
      <c r="B124" s="205"/>
      <c r="C124" s="212"/>
      <c r="D124" s="212"/>
      <c r="E124" s="195"/>
      <c r="F124" s="205"/>
      <c r="G124" s="205"/>
      <c r="H124" s="205"/>
      <c r="I124" s="205"/>
      <c r="J124" s="205"/>
      <c r="K124" s="222"/>
      <c r="L124" s="223"/>
      <c r="M124" s="223"/>
      <c r="N124" s="223"/>
      <c r="O124" s="223"/>
      <c r="P124" s="223"/>
      <c r="Q124" s="223"/>
      <c r="R124" s="205"/>
      <c r="S124" s="224"/>
      <c r="T124" s="224"/>
      <c r="U124" s="224"/>
      <c r="V124" s="224"/>
      <c r="W124" s="224"/>
      <c r="X124" s="184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51"/>
      <c r="AI124" s="251"/>
      <c r="AJ124" s="251"/>
      <c r="AK124" s="187"/>
      <c r="AL124" s="187"/>
      <c r="AM124" s="187"/>
      <c r="AN124" s="205"/>
      <c r="AO124" s="205"/>
      <c r="AP124" s="205"/>
      <c r="AQ124" s="205"/>
      <c r="AR124" s="205"/>
      <c r="AS124" s="205"/>
      <c r="AT124" s="205"/>
    </row>
    <row r="125" spans="1:46" s="168" customFormat="1" ht="28.5" customHeight="1" x14ac:dyDescent="0.2">
      <c r="A125" s="289" t="s">
        <v>531</v>
      </c>
      <c r="B125" s="289" t="s">
        <v>532</v>
      </c>
      <c r="C125" s="289" t="s">
        <v>533</v>
      </c>
      <c r="D125" s="289" t="s">
        <v>534</v>
      </c>
      <c r="E125" s="289" t="s">
        <v>535</v>
      </c>
      <c r="F125" s="290" t="s">
        <v>301</v>
      </c>
      <c r="G125" s="290" t="s">
        <v>536</v>
      </c>
      <c r="H125" s="290" t="s">
        <v>537</v>
      </c>
      <c r="I125" s="290" t="s">
        <v>538</v>
      </c>
      <c r="J125" s="290" t="s">
        <v>539</v>
      </c>
      <c r="K125" s="291" t="s">
        <v>216</v>
      </c>
      <c r="L125" s="214" t="s">
        <v>807</v>
      </c>
      <c r="M125" s="214" t="s">
        <v>387</v>
      </c>
      <c r="N125" s="214" t="s">
        <v>540</v>
      </c>
      <c r="O125" s="214" t="s">
        <v>541</v>
      </c>
      <c r="P125" s="214" t="s">
        <v>364</v>
      </c>
      <c r="Q125" s="214" t="s">
        <v>808</v>
      </c>
      <c r="R125" s="214" t="s">
        <v>809</v>
      </c>
      <c r="S125" s="291" t="s">
        <v>258</v>
      </c>
      <c r="T125" s="291" t="s">
        <v>542</v>
      </c>
      <c r="U125" s="291" t="s">
        <v>543</v>
      </c>
      <c r="V125" s="291" t="s">
        <v>544</v>
      </c>
      <c r="W125" s="291" t="s">
        <v>545</v>
      </c>
      <c r="X125" s="291" t="s">
        <v>546</v>
      </c>
      <c r="Y125" s="291" t="s">
        <v>547</v>
      </c>
      <c r="Z125" s="291" t="s">
        <v>548</v>
      </c>
      <c r="AA125" s="291" t="s">
        <v>549</v>
      </c>
      <c r="AB125" s="291" t="s">
        <v>550</v>
      </c>
      <c r="AC125" s="291" t="s">
        <v>551</v>
      </c>
      <c r="AD125" s="291" t="s">
        <v>292</v>
      </c>
      <c r="AE125" s="291" t="s">
        <v>552</v>
      </c>
      <c r="AF125" s="291" t="s">
        <v>553</v>
      </c>
      <c r="AG125" s="291" t="s">
        <v>554</v>
      </c>
      <c r="AH125" s="291" t="s">
        <v>389</v>
      </c>
      <c r="AI125" s="291" t="s">
        <v>555</v>
      </c>
      <c r="AJ125" s="291" t="s">
        <v>556</v>
      </c>
      <c r="AK125" s="291" t="s">
        <v>557</v>
      </c>
      <c r="AL125" s="291" t="s">
        <v>558</v>
      </c>
      <c r="AM125" s="291" t="s">
        <v>559</v>
      </c>
      <c r="AN125" s="291" t="s">
        <v>560</v>
      </c>
      <c r="AO125" s="292" t="s">
        <v>561</v>
      </c>
      <c r="AP125" s="292" t="s">
        <v>562</v>
      </c>
      <c r="AQ125" s="293" t="s">
        <v>563</v>
      </c>
      <c r="AR125" s="291" t="s">
        <v>564</v>
      </c>
      <c r="AS125" s="291" t="s">
        <v>565</v>
      </c>
      <c r="AT125" s="200"/>
    </row>
    <row r="126" spans="1:46" x14ac:dyDescent="0.2">
      <c r="A126" s="199" t="s">
        <v>734</v>
      </c>
      <c r="B126" s="199"/>
      <c r="C126" s="199"/>
      <c r="D126" s="199"/>
      <c r="E126" s="167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201"/>
    </row>
    <row r="127" spans="1:46" x14ac:dyDescent="0.2">
      <c r="A127" s="200" t="s">
        <v>567</v>
      </c>
      <c r="B127" s="201" t="s">
        <v>735</v>
      </c>
      <c r="C127" s="200" t="s">
        <v>569</v>
      </c>
      <c r="D127" s="200" t="s">
        <v>437</v>
      </c>
      <c r="E127" s="169" t="s">
        <v>784</v>
      </c>
      <c r="F127" s="201" t="s">
        <v>570</v>
      </c>
      <c r="G127" s="201"/>
      <c r="H127" s="201" t="s">
        <v>736</v>
      </c>
      <c r="I127" s="201"/>
      <c r="J127" s="201"/>
      <c r="K127" s="228">
        <v>20</v>
      </c>
      <c r="L127" s="216">
        <v>3375</v>
      </c>
      <c r="M127" s="216">
        <v>3375</v>
      </c>
      <c r="N127" s="216">
        <v>3375</v>
      </c>
      <c r="O127" s="216">
        <v>3375</v>
      </c>
      <c r="P127" s="216">
        <v>3375</v>
      </c>
      <c r="Q127" s="216">
        <v>75</v>
      </c>
      <c r="R127" s="216"/>
      <c r="S127" s="217">
        <v>0.85988749459108615</v>
      </c>
      <c r="T127" s="217">
        <v>0.85988749459108615</v>
      </c>
      <c r="U127" s="217">
        <v>0.85988749459108615</v>
      </c>
      <c r="V127" s="217">
        <v>0.85988749459108615</v>
      </c>
      <c r="W127" s="217">
        <v>0.85988749459108615</v>
      </c>
      <c r="X127" s="201"/>
      <c r="Y127" s="217"/>
      <c r="Z127" s="217"/>
      <c r="AA127" s="217"/>
      <c r="AB127" s="217"/>
      <c r="AC127" s="217"/>
      <c r="AD127" s="217"/>
      <c r="AE127" s="281">
        <v>1</v>
      </c>
      <c r="AF127" s="281">
        <v>1</v>
      </c>
      <c r="AG127" s="281"/>
      <c r="AH127" s="201"/>
      <c r="AI127" s="201"/>
      <c r="AJ127" s="201"/>
      <c r="AK127" s="201"/>
      <c r="AL127" s="201"/>
      <c r="AM127" s="201"/>
      <c r="AN127" s="201"/>
      <c r="AO127" s="201"/>
      <c r="AP127" s="262"/>
      <c r="AQ127" s="201"/>
      <c r="AR127" s="216"/>
      <c r="AS127" s="216"/>
      <c r="AT127" s="201"/>
    </row>
    <row r="128" spans="1:46" x14ac:dyDescent="0.2">
      <c r="A128" s="201" t="s">
        <v>567</v>
      </c>
      <c r="B128" s="201" t="s">
        <v>737</v>
      </c>
      <c r="C128" s="200" t="s">
        <v>575</v>
      </c>
      <c r="D128" s="200" t="s">
        <v>437</v>
      </c>
      <c r="E128" s="169" t="str">
        <f>E127</f>
        <v>HOB oil_large</v>
      </c>
      <c r="F128" s="201" t="s">
        <v>570</v>
      </c>
      <c r="G128" s="201"/>
      <c r="H128" s="201" t="s">
        <v>736</v>
      </c>
      <c r="I128" s="201"/>
      <c r="J128" s="201"/>
      <c r="K128" s="263">
        <v>20</v>
      </c>
      <c r="L128" s="219">
        <v>3375</v>
      </c>
      <c r="M128" s="219">
        <v>3375</v>
      </c>
      <c r="N128" s="219">
        <v>3375</v>
      </c>
      <c r="O128" s="219">
        <v>3375</v>
      </c>
      <c r="P128" s="219">
        <v>3375</v>
      </c>
      <c r="Q128" s="219">
        <v>75</v>
      </c>
      <c r="R128" s="219"/>
      <c r="S128" s="217">
        <f t="shared" ref="S128:AC128" si="35">S127</f>
        <v>0.85988749459108615</v>
      </c>
      <c r="T128" s="217">
        <f t="shared" si="35"/>
        <v>0.85988749459108615</v>
      </c>
      <c r="U128" s="217">
        <f t="shared" si="35"/>
        <v>0.85988749459108615</v>
      </c>
      <c r="V128" s="217">
        <f t="shared" si="35"/>
        <v>0.85988749459108615</v>
      </c>
      <c r="W128" s="217">
        <f t="shared" si="35"/>
        <v>0.85988749459108615</v>
      </c>
      <c r="X128" s="201">
        <f t="shared" si="35"/>
        <v>0</v>
      </c>
      <c r="Y128" s="200">
        <f t="shared" si="35"/>
        <v>0</v>
      </c>
      <c r="Z128" s="200">
        <f t="shared" si="35"/>
        <v>0</v>
      </c>
      <c r="AA128" s="200">
        <f t="shared" si="35"/>
        <v>0</v>
      </c>
      <c r="AB128" s="200">
        <f t="shared" si="35"/>
        <v>0</v>
      </c>
      <c r="AC128" s="200">
        <f t="shared" si="35"/>
        <v>0</v>
      </c>
      <c r="AD128" s="200"/>
      <c r="AE128" s="282"/>
      <c r="AF128" s="282"/>
      <c r="AG128" s="282"/>
      <c r="AH128" s="200"/>
      <c r="AI128" s="200"/>
      <c r="AJ128" s="200"/>
      <c r="AK128" s="200"/>
      <c r="AL128" s="200"/>
      <c r="AM128" s="200"/>
      <c r="AN128" s="200"/>
      <c r="AO128" s="201"/>
      <c r="AP128" s="262"/>
      <c r="AQ128" s="201"/>
      <c r="AR128" s="219"/>
      <c r="AS128" s="219"/>
      <c r="AT128" s="201"/>
    </row>
    <row r="129" spans="1:46" x14ac:dyDescent="0.2">
      <c r="A129" s="202" t="s">
        <v>799</v>
      </c>
      <c r="B129" s="201" t="str">
        <f>B128&amp;"-"&amp;RIGHT(F129,3)&amp;"spl"</f>
        <v>R_ES-SH-FL_OIL02-SOLspl</v>
      </c>
      <c r="C129" s="203" t="s">
        <v>578</v>
      </c>
      <c r="D129" s="203" t="s">
        <v>437</v>
      </c>
      <c r="E129" s="169" t="s">
        <v>785</v>
      </c>
      <c r="F129" s="201" t="s">
        <v>86</v>
      </c>
      <c r="G129" s="201"/>
      <c r="H129" s="201" t="s">
        <v>736</v>
      </c>
      <c r="I129" s="201"/>
      <c r="J129" s="201"/>
      <c r="K129" s="218">
        <v>20</v>
      </c>
      <c r="L129" s="219">
        <v>4966.666666666667</v>
      </c>
      <c r="M129" s="219">
        <v>4558.666666666667</v>
      </c>
      <c r="N129" s="219">
        <v>4218.666666666667</v>
      </c>
      <c r="O129" s="219">
        <v>2722.6666666666665</v>
      </c>
      <c r="P129" s="219">
        <v>2722.6666666666665</v>
      </c>
      <c r="Q129" s="219">
        <v>38.333333333333336</v>
      </c>
      <c r="R129" s="200"/>
      <c r="S129" s="170">
        <v>1</v>
      </c>
      <c r="T129" s="170"/>
      <c r="U129" s="170"/>
      <c r="V129" s="170"/>
      <c r="W129" s="170"/>
      <c r="X129" s="201"/>
      <c r="Y129" s="200"/>
      <c r="Z129" s="200"/>
      <c r="AA129" s="200"/>
      <c r="AB129" s="200"/>
      <c r="AC129" s="200"/>
      <c r="AD129" s="200"/>
      <c r="AE129" s="282">
        <v>0.15</v>
      </c>
      <c r="AF129" s="282">
        <v>0.15</v>
      </c>
      <c r="AG129" s="282"/>
      <c r="AH129" s="200"/>
      <c r="AI129" s="200"/>
      <c r="AJ129" s="200"/>
      <c r="AK129" s="200"/>
      <c r="AL129" s="200"/>
      <c r="AM129" s="200"/>
      <c r="AN129" s="200"/>
      <c r="AO129" s="201" t="s">
        <v>579</v>
      </c>
      <c r="AP129" s="262"/>
      <c r="AQ129" s="201" t="s">
        <v>580</v>
      </c>
      <c r="AR129" s="219"/>
      <c r="AS129" s="219"/>
      <c r="AT129" s="201"/>
    </row>
    <row r="130" spans="1:46" s="171" customFormat="1" x14ac:dyDescent="0.2">
      <c r="A130" s="213" t="s">
        <v>804</v>
      </c>
      <c r="B130" s="203" t="str">
        <f>B128&amp;"-"&amp;RIGHT(F130,3)&amp;"spl"</f>
        <v>R_ES-SH-FL_OIL02-BIOspl</v>
      </c>
      <c r="C130" s="203" t="s">
        <v>581</v>
      </c>
      <c r="D130" s="203" t="s">
        <v>437</v>
      </c>
      <c r="E130" s="179" t="s">
        <v>768</v>
      </c>
      <c r="F130" s="203" t="s">
        <v>79</v>
      </c>
      <c r="G130" s="203"/>
      <c r="H130" s="203" t="s">
        <v>398</v>
      </c>
      <c r="I130" s="203"/>
      <c r="J130" s="203"/>
      <c r="K130" s="264">
        <v>20</v>
      </c>
      <c r="L130" s="220">
        <v>4200</v>
      </c>
      <c r="M130" s="220">
        <v>4200</v>
      </c>
      <c r="N130" s="220">
        <v>5100</v>
      </c>
      <c r="O130" s="220">
        <v>5100</v>
      </c>
      <c r="P130" s="220">
        <v>5100</v>
      </c>
      <c r="Q130" s="220">
        <v>1</v>
      </c>
      <c r="R130" s="203"/>
      <c r="S130" s="172">
        <v>0.65</v>
      </c>
      <c r="T130" s="172">
        <v>0.7</v>
      </c>
      <c r="U130" s="172">
        <v>0.75</v>
      </c>
      <c r="V130" s="172">
        <v>0.75</v>
      </c>
      <c r="W130" s="172">
        <v>0.75</v>
      </c>
      <c r="X130" s="203"/>
      <c r="Y130" s="207"/>
      <c r="Z130" s="207"/>
      <c r="AA130" s="207"/>
      <c r="AB130" s="207"/>
      <c r="AC130" s="207"/>
      <c r="AD130" s="207"/>
      <c r="AE130" s="283">
        <v>0.4</v>
      </c>
      <c r="AF130" s="283"/>
      <c r="AG130" s="283"/>
      <c r="AH130" s="207"/>
      <c r="AI130" s="207"/>
      <c r="AJ130" s="207"/>
      <c r="AK130" s="207"/>
      <c r="AL130" s="207"/>
      <c r="AM130" s="207"/>
      <c r="AN130" s="207"/>
      <c r="AO130" s="212" t="s">
        <v>579</v>
      </c>
      <c r="AP130" s="265"/>
      <c r="AQ130" s="212" t="s">
        <v>582</v>
      </c>
      <c r="AR130" s="220"/>
      <c r="AS130" s="220"/>
      <c r="AT130" s="201"/>
    </row>
    <row r="131" spans="1:46" s="171" customFormat="1" x14ac:dyDescent="0.2">
      <c r="A131" s="207" t="s">
        <v>567</v>
      </c>
      <c r="B131" s="203" t="s">
        <v>738</v>
      </c>
      <c r="C131" s="203" t="s">
        <v>584</v>
      </c>
      <c r="D131" s="203" t="s">
        <v>437</v>
      </c>
      <c r="E131" s="178" t="s">
        <v>786</v>
      </c>
      <c r="F131" s="203" t="s">
        <v>585</v>
      </c>
      <c r="G131" s="203"/>
      <c r="H131" s="203" t="s">
        <v>736</v>
      </c>
      <c r="I131" s="203"/>
      <c r="J131" s="203"/>
      <c r="K131" s="228">
        <v>22</v>
      </c>
      <c r="L131" s="220">
        <v>2742</v>
      </c>
      <c r="M131" s="220">
        <v>2399.25</v>
      </c>
      <c r="N131" s="220">
        <v>2056.5</v>
      </c>
      <c r="O131" s="220">
        <v>2056.5</v>
      </c>
      <c r="P131" s="220">
        <v>2056.5</v>
      </c>
      <c r="Q131" s="220">
        <v>220</v>
      </c>
      <c r="R131" s="203"/>
      <c r="S131" s="231">
        <v>0.86075417947372368</v>
      </c>
      <c r="T131" s="231">
        <v>0.86075417947372368</v>
      </c>
      <c r="U131" s="231">
        <v>0.86075417947372368</v>
      </c>
      <c r="V131" s="231">
        <v>0.86075417947372368</v>
      </c>
      <c r="W131" s="231">
        <v>0.86075417947372368</v>
      </c>
      <c r="X131" s="203"/>
      <c r="Y131" s="231"/>
      <c r="Z131" s="231"/>
      <c r="AA131" s="231"/>
      <c r="AB131" s="231"/>
      <c r="AC131" s="231"/>
      <c r="AD131" s="231"/>
      <c r="AE131" s="284">
        <v>1</v>
      </c>
      <c r="AF131" s="284">
        <v>1</v>
      </c>
      <c r="AG131" s="284"/>
      <c r="AH131" s="203"/>
      <c r="AI131" s="203"/>
      <c r="AJ131" s="203"/>
      <c r="AK131" s="203"/>
      <c r="AL131" s="203"/>
      <c r="AM131" s="203"/>
      <c r="AN131" s="203"/>
      <c r="AO131" s="203"/>
      <c r="AP131" s="262"/>
      <c r="AQ131" s="203"/>
      <c r="AR131" s="220"/>
      <c r="AS131" s="220"/>
      <c r="AT131" s="201"/>
    </row>
    <row r="132" spans="1:46" s="171" customFormat="1" x14ac:dyDescent="0.2">
      <c r="A132" s="207" t="s">
        <v>567</v>
      </c>
      <c r="B132" s="203" t="s">
        <v>739</v>
      </c>
      <c r="C132" s="203" t="s">
        <v>589</v>
      </c>
      <c r="D132" s="203" t="s">
        <v>437</v>
      </c>
      <c r="E132" s="178" t="s">
        <v>786</v>
      </c>
      <c r="F132" s="203" t="s">
        <v>585</v>
      </c>
      <c r="G132" s="203"/>
      <c r="H132" s="203" t="s">
        <v>736</v>
      </c>
      <c r="I132" s="203"/>
      <c r="J132" s="203"/>
      <c r="K132" s="228">
        <f>K131</f>
        <v>22</v>
      </c>
      <c r="L132" s="220">
        <v>2742</v>
      </c>
      <c r="M132" s="220">
        <v>2399.25</v>
      </c>
      <c r="N132" s="220">
        <v>2056.5</v>
      </c>
      <c r="O132" s="220">
        <v>2056.5</v>
      </c>
      <c r="P132" s="220">
        <v>2056.5</v>
      </c>
      <c r="Q132" s="220">
        <v>220</v>
      </c>
      <c r="R132" s="203"/>
      <c r="S132" s="172">
        <f t="shared" ref="S132:AC132" si="36">S131</f>
        <v>0.86075417947372368</v>
      </c>
      <c r="T132" s="172">
        <f t="shared" si="36"/>
        <v>0.86075417947372368</v>
      </c>
      <c r="U132" s="172">
        <f t="shared" si="36"/>
        <v>0.86075417947372368</v>
      </c>
      <c r="V132" s="172">
        <f t="shared" si="36"/>
        <v>0.86075417947372368</v>
      </c>
      <c r="W132" s="172">
        <f t="shared" si="36"/>
        <v>0.86075417947372368</v>
      </c>
      <c r="X132" s="203">
        <f t="shared" si="36"/>
        <v>0</v>
      </c>
      <c r="Y132" s="172">
        <f t="shared" si="36"/>
        <v>0</v>
      </c>
      <c r="Z132" s="172">
        <f t="shared" si="36"/>
        <v>0</v>
      </c>
      <c r="AA132" s="172">
        <f t="shared" si="36"/>
        <v>0</v>
      </c>
      <c r="AB132" s="172">
        <f t="shared" si="36"/>
        <v>0</v>
      </c>
      <c r="AC132" s="172">
        <f t="shared" si="36"/>
        <v>0</v>
      </c>
      <c r="AD132" s="172"/>
      <c r="AE132" s="284">
        <v>1</v>
      </c>
      <c r="AF132" s="284">
        <v>1</v>
      </c>
      <c r="AG132" s="284"/>
      <c r="AH132" s="231"/>
      <c r="AI132" s="231"/>
      <c r="AJ132" s="231"/>
      <c r="AK132" s="231"/>
      <c r="AL132" s="231"/>
      <c r="AM132" s="231"/>
      <c r="AN132" s="231"/>
      <c r="AO132" s="203"/>
      <c r="AP132" s="262"/>
      <c r="AQ132" s="203"/>
      <c r="AR132" s="220"/>
      <c r="AS132" s="220"/>
      <c r="AT132" s="201"/>
    </row>
    <row r="133" spans="1:46" s="171" customFormat="1" x14ac:dyDescent="0.2">
      <c r="A133" s="213" t="s">
        <v>799</v>
      </c>
      <c r="B133" s="203" t="str">
        <f>B131&amp;"-"&amp;RIGHT(F133,3)&amp;"spl"</f>
        <v>R_ES-SH-FL_GAS01-SOLspl</v>
      </c>
      <c r="C133" s="203" t="s">
        <v>590</v>
      </c>
      <c r="D133" s="203" t="s">
        <v>437</v>
      </c>
      <c r="E133" s="178" t="s">
        <v>785</v>
      </c>
      <c r="F133" s="203" t="s">
        <v>86</v>
      </c>
      <c r="G133" s="203"/>
      <c r="H133" s="203" t="s">
        <v>736</v>
      </c>
      <c r="I133" s="203"/>
      <c r="J133" s="203"/>
      <c r="K133" s="264">
        <v>20</v>
      </c>
      <c r="L133" s="220">
        <v>4966.666666666667</v>
      </c>
      <c r="M133" s="220">
        <v>4558.666666666667</v>
      </c>
      <c r="N133" s="220">
        <v>4218.666666666667</v>
      </c>
      <c r="O133" s="220">
        <v>2722.6666666666665</v>
      </c>
      <c r="P133" s="220">
        <v>2722.6666666666665</v>
      </c>
      <c r="Q133" s="220">
        <v>38.333333333333336</v>
      </c>
      <c r="R133" s="203"/>
      <c r="S133" s="172">
        <v>1</v>
      </c>
      <c r="T133" s="172"/>
      <c r="U133" s="172"/>
      <c r="V133" s="172"/>
      <c r="W133" s="172"/>
      <c r="X133" s="203"/>
      <c r="Y133" s="172"/>
      <c r="Z133" s="172"/>
      <c r="AA133" s="172"/>
      <c r="AB133" s="172"/>
      <c r="AC133" s="172"/>
      <c r="AD133" s="172"/>
      <c r="AE133" s="284">
        <v>0.15</v>
      </c>
      <c r="AF133" s="284">
        <v>0.15</v>
      </c>
      <c r="AG133" s="284"/>
      <c r="AH133" s="231"/>
      <c r="AI133" s="231"/>
      <c r="AJ133" s="231"/>
      <c r="AK133" s="231"/>
      <c r="AL133" s="231"/>
      <c r="AM133" s="231"/>
      <c r="AN133" s="231"/>
      <c r="AO133" s="203" t="s">
        <v>579</v>
      </c>
      <c r="AP133" s="262"/>
      <c r="AQ133" s="203" t="s">
        <v>591</v>
      </c>
      <c r="AR133" s="220"/>
      <c r="AS133" s="220"/>
      <c r="AT133" s="201"/>
    </row>
    <row r="134" spans="1:46" s="171" customFormat="1" x14ac:dyDescent="0.2">
      <c r="A134" s="213" t="s">
        <v>804</v>
      </c>
      <c r="B134" s="203" t="str">
        <f>B131&amp;"-"&amp;RIGHT(F134,3)&amp;"spl"</f>
        <v>R_ES-SH-FL_GAS01-BIOspl</v>
      </c>
      <c r="C134" s="203" t="s">
        <v>592</v>
      </c>
      <c r="D134" s="203" t="s">
        <v>437</v>
      </c>
      <c r="E134" s="179" t="s">
        <v>768</v>
      </c>
      <c r="F134" s="203" t="s">
        <v>79</v>
      </c>
      <c r="G134" s="203"/>
      <c r="H134" s="203" t="s">
        <v>398</v>
      </c>
      <c r="I134" s="203"/>
      <c r="J134" s="203"/>
      <c r="K134" s="264">
        <v>20</v>
      </c>
      <c r="L134" s="220">
        <v>4200</v>
      </c>
      <c r="M134" s="220">
        <v>4200</v>
      </c>
      <c r="N134" s="220">
        <v>5100</v>
      </c>
      <c r="O134" s="220">
        <v>5100</v>
      </c>
      <c r="P134" s="220">
        <v>5100</v>
      </c>
      <c r="Q134" s="220">
        <v>1</v>
      </c>
      <c r="R134" s="203"/>
      <c r="S134" s="172">
        <v>0.65</v>
      </c>
      <c r="T134" s="172">
        <v>0.7</v>
      </c>
      <c r="U134" s="172">
        <v>0.75</v>
      </c>
      <c r="V134" s="172">
        <v>0.75</v>
      </c>
      <c r="W134" s="172">
        <v>0.75</v>
      </c>
      <c r="X134" s="203"/>
      <c r="Y134" s="172"/>
      <c r="Z134" s="172"/>
      <c r="AA134" s="172"/>
      <c r="AB134" s="172"/>
      <c r="AC134" s="172"/>
      <c r="AD134" s="172"/>
      <c r="AE134" s="284">
        <v>0.4</v>
      </c>
      <c r="AF134" s="284"/>
      <c r="AG134" s="284"/>
      <c r="AH134" s="231"/>
      <c r="AI134" s="231"/>
      <c r="AJ134" s="231"/>
      <c r="AK134" s="231"/>
      <c r="AL134" s="231"/>
      <c r="AM134" s="231"/>
      <c r="AN134" s="231"/>
      <c r="AO134" s="212" t="s">
        <v>579</v>
      </c>
      <c r="AP134" s="265"/>
      <c r="AQ134" s="212" t="s">
        <v>582</v>
      </c>
      <c r="AR134" s="220"/>
      <c r="AS134" s="220"/>
      <c r="AT134" s="201"/>
    </row>
    <row r="135" spans="1:46" x14ac:dyDescent="0.2">
      <c r="A135" s="204" t="s">
        <v>567</v>
      </c>
      <c r="B135" s="205" t="s">
        <v>740</v>
      </c>
      <c r="C135" s="205" t="s">
        <v>594</v>
      </c>
      <c r="D135" s="205" t="s">
        <v>437</v>
      </c>
      <c r="E135" s="174" t="s">
        <v>787</v>
      </c>
      <c r="F135" s="221" t="s">
        <v>79</v>
      </c>
      <c r="G135" s="221"/>
      <c r="H135" s="205" t="s">
        <v>736</v>
      </c>
      <c r="I135" s="201"/>
      <c r="J135" s="201"/>
      <c r="K135" s="218">
        <v>20</v>
      </c>
      <c r="L135" s="223">
        <v>10462.5</v>
      </c>
      <c r="M135" s="223">
        <v>10462.5</v>
      </c>
      <c r="N135" s="223">
        <v>10462.5</v>
      </c>
      <c r="O135" s="223">
        <v>10462.5</v>
      </c>
      <c r="P135" s="223">
        <v>10462.5</v>
      </c>
      <c r="Q135" s="223">
        <v>125</v>
      </c>
      <c r="R135" s="205"/>
      <c r="S135" s="224">
        <v>0.85</v>
      </c>
      <c r="T135" s="224">
        <v>0.87</v>
      </c>
      <c r="U135" s="224">
        <v>0.91</v>
      </c>
      <c r="V135" s="224">
        <v>0.95</v>
      </c>
      <c r="W135" s="224">
        <v>0.95</v>
      </c>
      <c r="X135" s="205"/>
      <c r="Y135" s="224"/>
      <c r="Z135" s="224"/>
      <c r="AA135" s="224"/>
      <c r="AB135" s="224"/>
      <c r="AC135" s="224"/>
      <c r="AD135" s="224"/>
      <c r="AE135" s="285">
        <v>1</v>
      </c>
      <c r="AF135" s="285">
        <v>1</v>
      </c>
      <c r="AG135" s="285"/>
      <c r="AH135" s="205"/>
      <c r="AI135" s="205"/>
      <c r="AJ135" s="205"/>
      <c r="AK135" s="205"/>
      <c r="AL135" s="205"/>
      <c r="AM135" s="205"/>
      <c r="AN135" s="205"/>
      <c r="AO135" s="205" t="s">
        <v>579</v>
      </c>
      <c r="AP135" s="265"/>
      <c r="AQ135" s="205" t="s">
        <v>582</v>
      </c>
      <c r="AR135" s="223"/>
      <c r="AS135" s="223"/>
      <c r="AT135" s="201"/>
    </row>
    <row r="136" spans="1:46" x14ac:dyDescent="0.2">
      <c r="A136" s="206" t="s">
        <v>567</v>
      </c>
      <c r="B136" s="206" t="s">
        <v>741</v>
      </c>
      <c r="C136" s="206" t="s">
        <v>598</v>
      </c>
      <c r="D136" s="206" t="s">
        <v>437</v>
      </c>
      <c r="E136" s="176" t="s">
        <v>788</v>
      </c>
      <c r="F136" s="206" t="s">
        <v>81</v>
      </c>
      <c r="G136" s="206"/>
      <c r="H136" s="206" t="s">
        <v>736</v>
      </c>
      <c r="I136" s="201"/>
      <c r="J136" s="201"/>
      <c r="K136" s="225">
        <v>30</v>
      </c>
      <c r="L136" s="266">
        <v>2660</v>
      </c>
      <c r="M136" s="266">
        <v>2660</v>
      </c>
      <c r="N136" s="266">
        <v>2660</v>
      </c>
      <c r="O136" s="266">
        <v>2660</v>
      </c>
      <c r="P136" s="266">
        <v>2660</v>
      </c>
      <c r="Q136" s="266">
        <v>0.1</v>
      </c>
      <c r="R136" s="206"/>
      <c r="S136" s="227">
        <v>1</v>
      </c>
      <c r="T136" s="206"/>
      <c r="U136" s="206"/>
      <c r="V136" s="206"/>
      <c r="W136" s="206"/>
      <c r="X136" s="206"/>
      <c r="Y136" s="227"/>
      <c r="Z136" s="227"/>
      <c r="AA136" s="227"/>
      <c r="AB136" s="227"/>
      <c r="AC136" s="227"/>
      <c r="AD136" s="227"/>
      <c r="AE136" s="286">
        <v>1</v>
      </c>
      <c r="AF136" s="286">
        <v>1</v>
      </c>
      <c r="AG136" s="286"/>
      <c r="AH136" s="177"/>
      <c r="AI136" s="177"/>
      <c r="AJ136" s="177"/>
      <c r="AK136" s="177"/>
      <c r="AL136" s="177"/>
      <c r="AM136" s="177"/>
      <c r="AN136" s="177"/>
      <c r="AO136" s="206"/>
      <c r="AP136" s="267"/>
      <c r="AQ136" s="206" t="s">
        <v>600</v>
      </c>
      <c r="AR136" s="266"/>
      <c r="AS136" s="266"/>
      <c r="AT136" s="201"/>
    </row>
    <row r="137" spans="1:46" x14ac:dyDescent="0.2">
      <c r="A137" s="207" t="s">
        <v>601</v>
      </c>
      <c r="B137" s="203" t="s">
        <v>742</v>
      </c>
      <c r="C137" s="203" t="s">
        <v>603</v>
      </c>
      <c r="D137" s="203" t="s">
        <v>437</v>
      </c>
      <c r="E137" s="178" t="s">
        <v>789</v>
      </c>
      <c r="F137" s="203" t="s">
        <v>81</v>
      </c>
      <c r="G137" s="201" t="s">
        <v>82</v>
      </c>
      <c r="H137" s="203" t="s">
        <v>743</v>
      </c>
      <c r="I137" s="201"/>
      <c r="J137" s="201"/>
      <c r="K137" s="228">
        <v>20</v>
      </c>
      <c r="L137" s="242">
        <v>13570.1</v>
      </c>
      <c r="M137" s="242">
        <v>12891.594999999999</v>
      </c>
      <c r="N137" s="242">
        <v>11670.285999999998</v>
      </c>
      <c r="O137" s="242">
        <v>11127.481999999998</v>
      </c>
      <c r="P137" s="242">
        <v>11127.481999999998</v>
      </c>
      <c r="Q137" s="242">
        <v>325</v>
      </c>
      <c r="R137" s="203"/>
      <c r="S137" s="230"/>
      <c r="T137" s="230"/>
      <c r="U137" s="230"/>
      <c r="V137" s="230"/>
      <c r="W137" s="230"/>
      <c r="X137" s="268">
        <v>3</v>
      </c>
      <c r="Y137" s="268">
        <v>3.7</v>
      </c>
      <c r="Z137" s="268">
        <v>3.7</v>
      </c>
      <c r="AA137" s="268">
        <v>3.7</v>
      </c>
      <c r="AB137" s="268">
        <v>3.7</v>
      </c>
      <c r="AC137" s="268">
        <v>3.7</v>
      </c>
      <c r="AD137" s="268"/>
      <c r="AE137" s="287">
        <v>0.7</v>
      </c>
      <c r="AF137" s="287"/>
      <c r="AG137" s="287"/>
      <c r="AH137" s="231"/>
      <c r="AI137" s="231"/>
      <c r="AJ137" s="231"/>
      <c r="AK137" s="231"/>
      <c r="AL137" s="231"/>
      <c r="AM137" s="231"/>
      <c r="AN137" s="231"/>
      <c r="AO137" s="203" t="s">
        <v>579</v>
      </c>
      <c r="AP137" s="262"/>
      <c r="AQ137" s="203" t="s">
        <v>606</v>
      </c>
      <c r="AR137" s="242"/>
      <c r="AS137" s="242"/>
      <c r="AT137" s="201"/>
    </row>
    <row r="138" spans="1:46" s="171" customFormat="1" x14ac:dyDescent="0.2">
      <c r="A138" s="213" t="s">
        <v>799</v>
      </c>
      <c r="B138" s="203" t="str">
        <f>B137&amp;"-"&amp;RIGHT(F138,3)&amp;"spl"</f>
        <v>R_ES-SH-FL_ELC02-ELCspl</v>
      </c>
      <c r="C138" s="203" t="s">
        <v>607</v>
      </c>
      <c r="D138" s="203" t="s">
        <v>437</v>
      </c>
      <c r="E138" s="178" t="s">
        <v>788</v>
      </c>
      <c r="F138" s="203" t="s">
        <v>81</v>
      </c>
      <c r="G138" s="203"/>
      <c r="H138" s="203" t="s">
        <v>736</v>
      </c>
      <c r="I138" s="203"/>
      <c r="J138" s="203"/>
      <c r="K138" s="233">
        <v>15</v>
      </c>
      <c r="L138" s="220">
        <v>2702.2521044776117</v>
      </c>
      <c r="M138" s="220">
        <v>2702.2521044776117</v>
      </c>
      <c r="N138" s="220">
        <v>2702.2521044776117</v>
      </c>
      <c r="O138" s="220">
        <v>2702.2521044776117</v>
      </c>
      <c r="P138" s="220">
        <v>2702.2521044776117</v>
      </c>
      <c r="Q138" s="220">
        <v>0.1</v>
      </c>
      <c r="R138" s="203"/>
      <c r="S138" s="231">
        <v>1</v>
      </c>
      <c r="T138" s="231">
        <v>1</v>
      </c>
      <c r="U138" s="231">
        <v>1</v>
      </c>
      <c r="V138" s="231">
        <v>1</v>
      </c>
      <c r="W138" s="231">
        <v>1</v>
      </c>
      <c r="X138" s="230"/>
      <c r="Y138" s="230"/>
      <c r="Z138" s="230"/>
      <c r="AA138" s="230"/>
      <c r="AB138" s="230"/>
      <c r="AC138" s="230"/>
      <c r="AD138" s="230"/>
      <c r="AE138" s="284">
        <v>0.3</v>
      </c>
      <c r="AF138" s="284">
        <v>1</v>
      </c>
      <c r="AG138" s="284"/>
      <c r="AH138" s="231"/>
      <c r="AI138" s="231"/>
      <c r="AJ138" s="231"/>
      <c r="AK138" s="231"/>
      <c r="AL138" s="231"/>
      <c r="AM138" s="231"/>
      <c r="AN138" s="231"/>
      <c r="AO138" s="203"/>
      <c r="AP138" s="262"/>
      <c r="AQ138" s="203" t="s">
        <v>608</v>
      </c>
      <c r="AR138" s="220"/>
      <c r="AS138" s="220"/>
      <c r="AT138" s="201"/>
    </row>
    <row r="139" spans="1:46" s="171" customFormat="1" x14ac:dyDescent="0.2">
      <c r="A139" s="213" t="s">
        <v>799</v>
      </c>
      <c r="B139" s="203" t="str">
        <f>B137&amp;"-"&amp;RIGHT(F139,3)&amp;"spl"</f>
        <v>R_ES-SH-FL_ELC02-GASspl</v>
      </c>
      <c r="C139" s="203" t="s">
        <v>609</v>
      </c>
      <c r="D139" s="203" t="s">
        <v>437</v>
      </c>
      <c r="E139" s="178" t="s">
        <v>786</v>
      </c>
      <c r="F139" s="203" t="s">
        <v>610</v>
      </c>
      <c r="G139" s="203"/>
      <c r="H139" s="203" t="s">
        <v>736</v>
      </c>
      <c r="I139" s="203"/>
      <c r="J139" s="203"/>
      <c r="K139" s="228">
        <f>K131</f>
        <v>22</v>
      </c>
      <c r="L139" s="220">
        <v>2144.15</v>
      </c>
      <c r="M139" s="220">
        <v>1801.4</v>
      </c>
      <c r="N139" s="220">
        <v>1458.65</v>
      </c>
      <c r="O139" s="220">
        <v>1458.65</v>
      </c>
      <c r="P139" s="220">
        <v>1458.65</v>
      </c>
      <c r="Q139" s="220">
        <v>190</v>
      </c>
      <c r="R139" s="203"/>
      <c r="S139" s="231">
        <v>0.86075417947372368</v>
      </c>
      <c r="T139" s="231">
        <v>0.86075417947372368</v>
      </c>
      <c r="U139" s="231">
        <v>0.86075417947372368</v>
      </c>
      <c r="V139" s="231">
        <v>0.86075417947372368</v>
      </c>
      <c r="W139" s="231">
        <v>0.86075417947372368</v>
      </c>
      <c r="X139" s="230"/>
      <c r="Y139" s="230"/>
      <c r="Z139" s="230"/>
      <c r="AA139" s="230"/>
      <c r="AB139" s="230"/>
      <c r="AC139" s="230"/>
      <c r="AD139" s="230"/>
      <c r="AE139" s="284">
        <v>0.3</v>
      </c>
      <c r="AF139" s="284">
        <v>1</v>
      </c>
      <c r="AG139" s="284"/>
      <c r="AH139" s="231"/>
      <c r="AI139" s="231"/>
      <c r="AJ139" s="231"/>
      <c r="AK139" s="231"/>
      <c r="AL139" s="231"/>
      <c r="AM139" s="231"/>
      <c r="AN139" s="231"/>
      <c r="AO139" s="203" t="s">
        <v>579</v>
      </c>
      <c r="AP139" s="262"/>
      <c r="AQ139" s="203" t="s">
        <v>608</v>
      </c>
      <c r="AR139" s="220"/>
      <c r="AS139" s="220"/>
      <c r="AT139" s="201"/>
    </row>
    <row r="140" spans="1:46" s="171" customFormat="1" x14ac:dyDescent="0.2">
      <c r="A140" s="213" t="s">
        <v>799</v>
      </c>
      <c r="B140" s="203" t="str">
        <f>B137&amp;"-"&amp;RIGHT(F140,3)&amp;"spl"</f>
        <v>R_ES-SH-FL_ELC02-BIOspl</v>
      </c>
      <c r="C140" s="203" t="s">
        <v>611</v>
      </c>
      <c r="D140" s="203" t="s">
        <v>437</v>
      </c>
      <c r="E140" s="178" t="s">
        <v>787</v>
      </c>
      <c r="F140" s="203" t="s">
        <v>79</v>
      </c>
      <c r="G140" s="203"/>
      <c r="H140" s="203" t="s">
        <v>736</v>
      </c>
      <c r="I140" s="203"/>
      <c r="J140" s="203"/>
      <c r="K140" s="228">
        <f>K135</f>
        <v>20</v>
      </c>
      <c r="L140" s="220">
        <v>10462.5</v>
      </c>
      <c r="M140" s="220">
        <v>10462.5</v>
      </c>
      <c r="N140" s="220">
        <v>10462.5</v>
      </c>
      <c r="O140" s="220">
        <v>10462.5</v>
      </c>
      <c r="P140" s="220">
        <v>10462.5</v>
      </c>
      <c r="Q140" s="220">
        <v>200</v>
      </c>
      <c r="R140" s="203"/>
      <c r="S140" s="231">
        <v>0.85</v>
      </c>
      <c r="T140" s="231">
        <v>0.87</v>
      </c>
      <c r="U140" s="231">
        <v>0.91</v>
      </c>
      <c r="V140" s="231">
        <v>0.95</v>
      </c>
      <c r="W140" s="231">
        <v>0.95</v>
      </c>
      <c r="X140" s="230"/>
      <c r="Y140" s="230"/>
      <c r="Z140" s="230"/>
      <c r="AA140" s="230"/>
      <c r="AB140" s="230"/>
      <c r="AC140" s="230"/>
      <c r="AD140" s="230"/>
      <c r="AE140" s="284">
        <v>0.3</v>
      </c>
      <c r="AF140" s="284">
        <v>1</v>
      </c>
      <c r="AG140" s="284"/>
      <c r="AH140" s="231"/>
      <c r="AI140" s="231"/>
      <c r="AJ140" s="231"/>
      <c r="AK140" s="231"/>
      <c r="AL140" s="231"/>
      <c r="AM140" s="231"/>
      <c r="AN140" s="231"/>
      <c r="AO140" s="203" t="s">
        <v>579</v>
      </c>
      <c r="AP140" s="262"/>
      <c r="AQ140" s="203" t="s">
        <v>608</v>
      </c>
      <c r="AR140" s="220"/>
      <c r="AS140" s="220"/>
      <c r="AT140" s="201"/>
    </row>
    <row r="141" spans="1:46" s="171" customFormat="1" x14ac:dyDescent="0.2">
      <c r="A141" s="213" t="s">
        <v>799</v>
      </c>
      <c r="B141" s="203" t="str">
        <f>B137&amp;"-"&amp;RIGHT(F141,3)&amp;"spl"</f>
        <v>R_ES-SH-FL_ELC02-SOLspl</v>
      </c>
      <c r="C141" s="203" t="s">
        <v>612</v>
      </c>
      <c r="D141" s="203" t="s">
        <v>437</v>
      </c>
      <c r="E141" s="178" t="s">
        <v>785</v>
      </c>
      <c r="F141" s="203" t="s">
        <v>86</v>
      </c>
      <c r="G141" s="203"/>
      <c r="H141" s="203" t="s">
        <v>736</v>
      </c>
      <c r="I141" s="203"/>
      <c r="J141" s="203"/>
      <c r="K141" s="233">
        <v>20</v>
      </c>
      <c r="L141" s="220">
        <v>6800</v>
      </c>
      <c r="M141" s="220">
        <v>6800</v>
      </c>
      <c r="N141" s="220">
        <v>6800</v>
      </c>
      <c r="O141" s="220">
        <v>6800</v>
      </c>
      <c r="P141" s="220">
        <v>6800</v>
      </c>
      <c r="Q141" s="220">
        <v>38.333333333333336</v>
      </c>
      <c r="R141" s="203"/>
      <c r="S141" s="231">
        <v>1</v>
      </c>
      <c r="T141" s="231">
        <v>1</v>
      </c>
      <c r="U141" s="231">
        <v>1</v>
      </c>
      <c r="V141" s="231">
        <v>1</v>
      </c>
      <c r="W141" s="231">
        <v>1</v>
      </c>
      <c r="X141" s="230"/>
      <c r="Y141" s="230"/>
      <c r="Z141" s="230"/>
      <c r="AA141" s="230"/>
      <c r="AB141" s="230"/>
      <c r="AC141" s="230"/>
      <c r="AD141" s="230"/>
      <c r="AE141" s="284">
        <v>0.3</v>
      </c>
      <c r="AF141" s="284">
        <v>1</v>
      </c>
      <c r="AG141" s="284"/>
      <c r="AH141" s="231"/>
      <c r="AI141" s="231"/>
      <c r="AJ141" s="231"/>
      <c r="AK141" s="231"/>
      <c r="AL141" s="231"/>
      <c r="AM141" s="231"/>
      <c r="AN141" s="231"/>
      <c r="AO141" s="203"/>
      <c r="AP141" s="262"/>
      <c r="AQ141" s="203" t="s">
        <v>608</v>
      </c>
      <c r="AR141" s="220"/>
      <c r="AS141" s="220"/>
      <c r="AT141" s="201"/>
    </row>
    <row r="142" spans="1:46" s="171" customFormat="1" x14ac:dyDescent="0.2">
      <c r="A142" s="203" t="s">
        <v>601</v>
      </c>
      <c r="B142" s="203" t="s">
        <v>744</v>
      </c>
      <c r="C142" s="203" t="s">
        <v>614</v>
      </c>
      <c r="D142" s="203" t="s">
        <v>437</v>
      </c>
      <c r="E142" s="178" t="s">
        <v>790</v>
      </c>
      <c r="F142" s="203" t="s">
        <v>81</v>
      </c>
      <c r="G142" s="203" t="s">
        <v>82</v>
      </c>
      <c r="H142" s="203" t="s">
        <v>736</v>
      </c>
      <c r="I142" s="203"/>
      <c r="J142" s="203"/>
      <c r="K142" s="233">
        <v>20</v>
      </c>
      <c r="L142" s="242">
        <v>12000</v>
      </c>
      <c r="M142" s="242">
        <v>12000</v>
      </c>
      <c r="N142" s="242">
        <v>10666.666666666666</v>
      </c>
      <c r="O142" s="242">
        <v>9333.3333333333339</v>
      </c>
      <c r="P142" s="242">
        <v>9333.3333333333339</v>
      </c>
      <c r="Q142" s="242">
        <v>15</v>
      </c>
      <c r="R142" s="243"/>
      <c r="S142" s="269">
        <v>3.1</v>
      </c>
      <c r="T142" s="269">
        <v>3.3</v>
      </c>
      <c r="U142" s="269">
        <v>3.7</v>
      </c>
      <c r="V142" s="269">
        <v>4</v>
      </c>
      <c r="W142" s="269">
        <v>4</v>
      </c>
      <c r="X142" s="203"/>
      <c r="Y142" s="236"/>
      <c r="Z142" s="236"/>
      <c r="AA142" s="236"/>
      <c r="AB142" s="236"/>
      <c r="AC142" s="236"/>
      <c r="AD142" s="236"/>
      <c r="AE142" s="283">
        <v>1</v>
      </c>
      <c r="AF142" s="283">
        <v>1</v>
      </c>
      <c r="AG142" s="283"/>
      <c r="AH142" s="172"/>
      <c r="AI142" s="172"/>
      <c r="AJ142" s="172"/>
      <c r="AK142" s="172"/>
      <c r="AL142" s="172"/>
      <c r="AM142" s="172"/>
      <c r="AN142" s="172"/>
      <c r="AO142" s="203"/>
      <c r="AP142" s="262"/>
      <c r="AQ142" s="203"/>
      <c r="AR142" s="242"/>
      <c r="AS142" s="242"/>
      <c r="AT142" s="201"/>
    </row>
    <row r="143" spans="1:46" s="171" customFormat="1" x14ac:dyDescent="0.2">
      <c r="A143" s="203" t="s">
        <v>601</v>
      </c>
      <c r="B143" s="203" t="s">
        <v>745</v>
      </c>
      <c r="C143" s="203" t="s">
        <v>616</v>
      </c>
      <c r="D143" s="203" t="s">
        <v>437</v>
      </c>
      <c r="E143" s="178" t="str">
        <f>E142&amp;" + add costs"</f>
        <v>HP-e-air-to-water_large + add costs</v>
      </c>
      <c r="F143" s="203" t="s">
        <v>81</v>
      </c>
      <c r="G143" s="203" t="s">
        <v>82</v>
      </c>
      <c r="H143" s="203" t="s">
        <v>746</v>
      </c>
      <c r="I143" s="203"/>
      <c r="J143" s="203"/>
      <c r="K143" s="228">
        <f>K19</f>
        <v>20</v>
      </c>
      <c r="L143" s="220">
        <v>13200.000000000002</v>
      </c>
      <c r="M143" s="220">
        <v>13200.000000000002</v>
      </c>
      <c r="N143" s="220">
        <v>11733.333333333334</v>
      </c>
      <c r="O143" s="220">
        <v>10266.666666666668</v>
      </c>
      <c r="P143" s="220">
        <v>10266.666666666668</v>
      </c>
      <c r="Q143" s="220">
        <v>16.5</v>
      </c>
      <c r="R143" s="203"/>
      <c r="S143" s="230">
        <f>S19</f>
        <v>3.1</v>
      </c>
      <c r="T143" s="230">
        <f>T19</f>
        <v>3.3</v>
      </c>
      <c r="U143" s="230">
        <f>U19</f>
        <v>3.7</v>
      </c>
      <c r="V143" s="230">
        <f>V19</f>
        <v>4</v>
      </c>
      <c r="W143" s="230">
        <f>W19</f>
        <v>4</v>
      </c>
      <c r="X143" s="203"/>
      <c r="Y143" s="203"/>
      <c r="Z143" s="203"/>
      <c r="AA143" s="203"/>
      <c r="AB143" s="203"/>
      <c r="AC143" s="203"/>
      <c r="AD143" s="203"/>
      <c r="AE143" s="284">
        <f>AE19</f>
        <v>1</v>
      </c>
      <c r="AF143" s="284">
        <f>AF19</f>
        <v>1</v>
      </c>
      <c r="AG143" s="284">
        <v>1</v>
      </c>
      <c r="AH143" s="198"/>
      <c r="AI143" s="198"/>
      <c r="AJ143" s="198"/>
      <c r="AK143" s="198"/>
      <c r="AL143" s="198"/>
      <c r="AM143" s="198"/>
      <c r="AN143" s="198">
        <v>1.1000000000000001</v>
      </c>
      <c r="AO143" s="203"/>
      <c r="AP143" s="262"/>
      <c r="AQ143" s="203"/>
      <c r="AR143" s="220"/>
      <c r="AS143" s="220"/>
      <c r="AT143" s="201"/>
    </row>
    <row r="144" spans="1:46" s="171" customFormat="1" x14ac:dyDescent="0.2">
      <c r="A144" s="203" t="s">
        <v>601</v>
      </c>
      <c r="B144" s="203" t="s">
        <v>747</v>
      </c>
      <c r="C144" s="203" t="s">
        <v>619</v>
      </c>
      <c r="D144" s="203" t="s">
        <v>437</v>
      </c>
      <c r="E144" s="178" t="s">
        <v>791</v>
      </c>
      <c r="F144" s="203" t="s">
        <v>81</v>
      </c>
      <c r="G144" s="201" t="s">
        <v>58</v>
      </c>
      <c r="H144" s="201" t="s">
        <v>736</v>
      </c>
      <c r="I144" s="201"/>
      <c r="J144" s="201"/>
      <c r="K144" s="215">
        <v>20</v>
      </c>
      <c r="L144" s="216">
        <v>10950</v>
      </c>
      <c r="M144" s="216">
        <v>10950</v>
      </c>
      <c r="N144" s="216">
        <v>9745.5</v>
      </c>
      <c r="O144" s="216">
        <v>8541</v>
      </c>
      <c r="P144" s="216">
        <v>8541</v>
      </c>
      <c r="Q144" s="216">
        <v>50</v>
      </c>
      <c r="R144" s="201"/>
      <c r="S144" s="234">
        <v>3.6</v>
      </c>
      <c r="T144" s="234">
        <v>3.7</v>
      </c>
      <c r="U144" s="234">
        <v>4</v>
      </c>
      <c r="V144" s="234">
        <v>4.5</v>
      </c>
      <c r="W144" s="234">
        <v>4.5</v>
      </c>
      <c r="X144" s="201"/>
      <c r="Y144" s="234"/>
      <c r="Z144" s="234"/>
      <c r="AA144" s="234"/>
      <c r="AB144" s="234"/>
      <c r="AC144" s="234"/>
      <c r="AD144" s="234"/>
      <c r="AE144" s="282">
        <v>1</v>
      </c>
      <c r="AF144" s="282">
        <v>1</v>
      </c>
      <c r="AG144" s="282"/>
      <c r="AH144" s="170"/>
      <c r="AI144" s="170"/>
      <c r="AJ144" s="170"/>
      <c r="AK144" s="170"/>
      <c r="AL144" s="170"/>
      <c r="AM144" s="170"/>
      <c r="AN144" s="170"/>
      <c r="AO144" s="201"/>
      <c r="AP144" s="262"/>
      <c r="AQ144" s="201"/>
      <c r="AR144" s="216"/>
      <c r="AS144" s="216"/>
      <c r="AT144" s="201"/>
    </row>
    <row r="145" spans="1:46" x14ac:dyDescent="0.2">
      <c r="A145" s="201" t="s">
        <v>601</v>
      </c>
      <c r="B145" s="203" t="s">
        <v>748</v>
      </c>
      <c r="C145" s="201" t="s">
        <v>621</v>
      </c>
      <c r="D145" s="201" t="s">
        <v>437</v>
      </c>
      <c r="E145" s="169" t="str">
        <f>E144&amp;" + add costs"</f>
        <v>Heat pump, ground source_large + add costs</v>
      </c>
      <c r="F145" s="201" t="s">
        <v>81</v>
      </c>
      <c r="G145" s="201" t="s">
        <v>58</v>
      </c>
      <c r="H145" s="201" t="s">
        <v>746</v>
      </c>
      <c r="I145" s="201"/>
      <c r="J145" s="201"/>
      <c r="K145" s="215">
        <f>K21</f>
        <v>20</v>
      </c>
      <c r="L145" s="216">
        <v>12045.000000000002</v>
      </c>
      <c r="M145" s="216">
        <v>12045.000000000002</v>
      </c>
      <c r="N145" s="216">
        <v>10720.050000000001</v>
      </c>
      <c r="O145" s="216">
        <v>9395.1</v>
      </c>
      <c r="P145" s="216">
        <v>9395.1</v>
      </c>
      <c r="Q145" s="216">
        <v>55.000000000000007</v>
      </c>
      <c r="R145" s="201"/>
      <c r="S145" s="235">
        <f>S21</f>
        <v>3.6</v>
      </c>
      <c r="T145" s="235">
        <f>T21</f>
        <v>3.7</v>
      </c>
      <c r="U145" s="235">
        <f>U21</f>
        <v>4</v>
      </c>
      <c r="V145" s="235">
        <f>V21</f>
        <v>4.5</v>
      </c>
      <c r="W145" s="235">
        <f>W21</f>
        <v>4.5</v>
      </c>
      <c r="X145" s="201"/>
      <c r="Y145" s="201"/>
      <c r="Z145" s="201"/>
      <c r="AA145" s="201"/>
      <c r="AB145" s="201"/>
      <c r="AC145" s="201"/>
      <c r="AD145" s="201"/>
      <c r="AE145" s="281">
        <f>AE21</f>
        <v>1</v>
      </c>
      <c r="AF145" s="281">
        <f>AF21</f>
        <v>1</v>
      </c>
      <c r="AG145" s="281">
        <v>1</v>
      </c>
      <c r="AH145" s="180"/>
      <c r="AI145" s="180"/>
      <c r="AJ145" s="180"/>
      <c r="AK145" s="180"/>
      <c r="AL145" s="180"/>
      <c r="AM145" s="180"/>
      <c r="AN145" s="180">
        <v>1.1000000000000001</v>
      </c>
      <c r="AO145" s="201"/>
      <c r="AP145" s="262"/>
      <c r="AQ145" s="201"/>
      <c r="AR145" s="216"/>
      <c r="AS145" s="216"/>
      <c r="AT145" s="201"/>
    </row>
    <row r="146" spans="1:46" x14ac:dyDescent="0.2">
      <c r="A146" s="203" t="s">
        <v>601</v>
      </c>
      <c r="B146" s="203" t="s">
        <v>749</v>
      </c>
      <c r="C146" s="203" t="s">
        <v>623</v>
      </c>
      <c r="D146" s="203" t="s">
        <v>437</v>
      </c>
      <c r="E146" s="178" t="str">
        <f>E144</f>
        <v>Heat pump, ground source_large</v>
      </c>
      <c r="F146" s="203" t="s">
        <v>81</v>
      </c>
      <c r="G146" s="201" t="s">
        <v>58</v>
      </c>
      <c r="H146" s="201" t="s">
        <v>736</v>
      </c>
      <c r="I146" s="201"/>
      <c r="J146" s="201"/>
      <c r="K146" s="215">
        <v>20</v>
      </c>
      <c r="L146" s="216">
        <v>17925</v>
      </c>
      <c r="M146" s="216">
        <v>17925</v>
      </c>
      <c r="N146" s="216">
        <v>17408.785714285714</v>
      </c>
      <c r="O146" s="216">
        <v>16892.571428571428</v>
      </c>
      <c r="P146" s="216">
        <v>16892.571428571428</v>
      </c>
      <c r="Q146" s="216">
        <v>3.5714285714285716</v>
      </c>
      <c r="R146" s="201"/>
      <c r="S146" s="234">
        <v>3.6</v>
      </c>
      <c r="T146" s="234">
        <v>3.7</v>
      </c>
      <c r="U146" s="234">
        <v>4</v>
      </c>
      <c r="V146" s="234">
        <v>4.5</v>
      </c>
      <c r="W146" s="234">
        <v>4.5</v>
      </c>
      <c r="X146" s="201"/>
      <c r="Y146" s="234"/>
      <c r="Z146" s="234"/>
      <c r="AA146" s="234"/>
      <c r="AB146" s="234"/>
      <c r="AC146" s="234"/>
      <c r="AD146" s="234"/>
      <c r="AE146" s="282">
        <v>1</v>
      </c>
      <c r="AF146" s="282">
        <v>1</v>
      </c>
      <c r="AG146" s="282"/>
      <c r="AH146" s="170"/>
      <c r="AI146" s="170"/>
      <c r="AJ146" s="170"/>
      <c r="AK146" s="170"/>
      <c r="AL146" s="170"/>
      <c r="AM146" s="170"/>
      <c r="AN146" s="170"/>
      <c r="AO146" s="201" t="s">
        <v>579</v>
      </c>
      <c r="AP146" s="262"/>
      <c r="AQ146" s="201" t="s">
        <v>624</v>
      </c>
      <c r="AR146" s="216"/>
      <c r="AS146" s="216"/>
      <c r="AT146" s="201"/>
    </row>
    <row r="147" spans="1:46" x14ac:dyDescent="0.2">
      <c r="A147" s="201" t="s">
        <v>601</v>
      </c>
      <c r="B147" s="203" t="s">
        <v>750</v>
      </c>
      <c r="C147" s="201" t="s">
        <v>626</v>
      </c>
      <c r="D147" s="201" t="s">
        <v>437</v>
      </c>
      <c r="E147" s="169" t="str">
        <f>E146&amp;" + add costs"</f>
        <v>Heat pump, ground source_large + add costs</v>
      </c>
      <c r="F147" s="201" t="s">
        <v>81</v>
      </c>
      <c r="G147" s="201" t="s">
        <v>58</v>
      </c>
      <c r="H147" s="201" t="s">
        <v>746</v>
      </c>
      <c r="I147" s="201"/>
      <c r="J147" s="201"/>
      <c r="K147" s="215">
        <f>K23</f>
        <v>20</v>
      </c>
      <c r="L147" s="216">
        <v>19717.5</v>
      </c>
      <c r="M147" s="216">
        <v>19717.5</v>
      </c>
      <c r="N147" s="216">
        <v>19149.664285714287</v>
      </c>
      <c r="O147" s="216">
        <v>18581.82857142857</v>
      </c>
      <c r="P147" s="216">
        <v>18581.82857142857</v>
      </c>
      <c r="Q147" s="216">
        <v>3.9285714285714293</v>
      </c>
      <c r="R147" s="201"/>
      <c r="S147" s="235">
        <f>S23</f>
        <v>3.6</v>
      </c>
      <c r="T147" s="235">
        <f>T23</f>
        <v>3.7</v>
      </c>
      <c r="U147" s="235">
        <f>U23</f>
        <v>4</v>
      </c>
      <c r="V147" s="235">
        <f>V23</f>
        <v>4.5</v>
      </c>
      <c r="W147" s="235">
        <f>W23</f>
        <v>4.5</v>
      </c>
      <c r="X147" s="201"/>
      <c r="Y147" s="201"/>
      <c r="Z147" s="201"/>
      <c r="AA147" s="201"/>
      <c r="AB147" s="201"/>
      <c r="AC147" s="201"/>
      <c r="AD147" s="201"/>
      <c r="AE147" s="281">
        <f>AE23</f>
        <v>1</v>
      </c>
      <c r="AF147" s="281">
        <f>AF23</f>
        <v>1</v>
      </c>
      <c r="AG147" s="281">
        <v>1</v>
      </c>
      <c r="AH147" s="180"/>
      <c r="AI147" s="180"/>
      <c r="AJ147" s="180"/>
      <c r="AK147" s="180"/>
      <c r="AL147" s="180"/>
      <c r="AM147" s="180"/>
      <c r="AN147" s="180">
        <v>1.1000000000000001</v>
      </c>
      <c r="AO147" s="201" t="s">
        <v>579</v>
      </c>
      <c r="AP147" s="262"/>
      <c r="AQ147" s="201"/>
      <c r="AR147" s="216"/>
      <c r="AS147" s="216"/>
      <c r="AT147" s="201"/>
    </row>
    <row r="148" spans="1:46" x14ac:dyDescent="0.2">
      <c r="A148" s="203" t="s">
        <v>601</v>
      </c>
      <c r="B148" s="203" t="s">
        <v>751</v>
      </c>
      <c r="C148" s="203" t="s">
        <v>629</v>
      </c>
      <c r="D148" s="203" t="s">
        <v>437</v>
      </c>
      <c r="E148" s="178" t="s">
        <v>792</v>
      </c>
      <c r="F148" s="203" t="s">
        <v>81</v>
      </c>
      <c r="G148" s="201" t="s">
        <v>58</v>
      </c>
      <c r="H148" s="201" t="s">
        <v>736</v>
      </c>
      <c r="I148" s="201"/>
      <c r="J148" s="201"/>
      <c r="K148" s="228">
        <v>25</v>
      </c>
      <c r="L148" s="216">
        <v>17628.333333333332</v>
      </c>
      <c r="M148" s="216">
        <v>17628.333333333332</v>
      </c>
      <c r="N148" s="216">
        <v>14003.333333333334</v>
      </c>
      <c r="O148" s="216">
        <v>14003.333333333334</v>
      </c>
      <c r="P148" s="216">
        <v>12553.333333333334</v>
      </c>
      <c r="Q148" s="216">
        <v>50</v>
      </c>
      <c r="R148" s="201"/>
      <c r="S148" s="236">
        <v>3.52</v>
      </c>
      <c r="T148" s="236">
        <v>3.52</v>
      </c>
      <c r="U148" s="236">
        <v>4.9279999999999999</v>
      </c>
      <c r="V148" s="236">
        <v>4.9279999999999999</v>
      </c>
      <c r="W148" s="236">
        <v>5.28</v>
      </c>
      <c r="X148" s="201"/>
      <c r="Y148" s="231"/>
      <c r="Z148" s="231"/>
      <c r="AA148" s="231"/>
      <c r="AB148" s="231"/>
      <c r="AC148" s="231"/>
      <c r="AD148" s="231"/>
      <c r="AE148" s="284">
        <v>1</v>
      </c>
      <c r="AF148" s="284">
        <v>1</v>
      </c>
      <c r="AG148" s="284"/>
      <c r="AH148" s="201"/>
      <c r="AI148" s="201"/>
      <c r="AJ148" s="201"/>
      <c r="AK148" s="201"/>
      <c r="AL148" s="201"/>
      <c r="AM148" s="201"/>
      <c r="AN148" s="201"/>
      <c r="AO148" s="201" t="s">
        <v>579</v>
      </c>
      <c r="AP148" s="262"/>
      <c r="AQ148" s="201" t="s">
        <v>630</v>
      </c>
      <c r="AR148" s="216"/>
      <c r="AS148" s="216"/>
      <c r="AT148" s="201"/>
    </row>
    <row r="149" spans="1:46" x14ac:dyDescent="0.2">
      <c r="A149" s="206" t="s">
        <v>601</v>
      </c>
      <c r="B149" s="208" t="s">
        <v>752</v>
      </c>
      <c r="C149" s="206" t="s">
        <v>632</v>
      </c>
      <c r="D149" s="206" t="s">
        <v>437</v>
      </c>
      <c r="E149" s="176" t="str">
        <f>E148&amp;" + add costs"</f>
        <v>HP-e-groundwater_large + add costs</v>
      </c>
      <c r="F149" s="206" t="s">
        <v>81</v>
      </c>
      <c r="G149" s="206" t="s">
        <v>58</v>
      </c>
      <c r="H149" s="206" t="s">
        <v>746</v>
      </c>
      <c r="I149" s="201"/>
      <c r="J149" s="201"/>
      <c r="K149" s="237">
        <f>K25</f>
        <v>25</v>
      </c>
      <c r="L149" s="238">
        <v>19391.166666666668</v>
      </c>
      <c r="M149" s="238">
        <v>19391.166666666668</v>
      </c>
      <c r="N149" s="238">
        <v>15403.666666666668</v>
      </c>
      <c r="O149" s="238">
        <v>15403.666666666668</v>
      </c>
      <c r="P149" s="238">
        <v>13808.666666666668</v>
      </c>
      <c r="Q149" s="238">
        <v>55.000000000000007</v>
      </c>
      <c r="R149" s="206"/>
      <c r="S149" s="239">
        <f>S25</f>
        <v>3.52</v>
      </c>
      <c r="T149" s="239">
        <f>T25</f>
        <v>3.52</v>
      </c>
      <c r="U149" s="239">
        <f>U25</f>
        <v>4.9279999999999999</v>
      </c>
      <c r="V149" s="239">
        <f>V25</f>
        <v>4.9279999999999999</v>
      </c>
      <c r="W149" s="239">
        <f>W25</f>
        <v>5.28</v>
      </c>
      <c r="X149" s="206"/>
      <c r="Y149" s="206"/>
      <c r="Z149" s="206"/>
      <c r="AA149" s="206"/>
      <c r="AB149" s="206"/>
      <c r="AC149" s="206"/>
      <c r="AD149" s="206"/>
      <c r="AE149" s="288">
        <f>AE25</f>
        <v>1</v>
      </c>
      <c r="AF149" s="288">
        <f>AF25</f>
        <v>1</v>
      </c>
      <c r="AG149" s="288">
        <v>1</v>
      </c>
      <c r="AH149" s="181"/>
      <c r="AI149" s="181"/>
      <c r="AJ149" s="181"/>
      <c r="AK149" s="181"/>
      <c r="AL149" s="181"/>
      <c r="AM149" s="181"/>
      <c r="AN149" s="181">
        <v>1.1000000000000001</v>
      </c>
      <c r="AO149" s="206" t="s">
        <v>579</v>
      </c>
      <c r="AP149" s="267"/>
      <c r="AQ149" s="206" t="s">
        <v>630</v>
      </c>
      <c r="AR149" s="238"/>
      <c r="AS149" s="238"/>
      <c r="AT149" s="201"/>
    </row>
    <row r="150" spans="1:46" x14ac:dyDescent="0.2">
      <c r="A150" s="203" t="s">
        <v>634</v>
      </c>
      <c r="B150" s="203" t="s">
        <v>753</v>
      </c>
      <c r="C150" s="203" t="s">
        <v>636</v>
      </c>
      <c r="D150" s="203" t="s">
        <v>437</v>
      </c>
      <c r="E150" s="169" t="s">
        <v>793</v>
      </c>
      <c r="F150" s="203" t="s">
        <v>585</v>
      </c>
      <c r="G150" s="203" t="s">
        <v>82</v>
      </c>
      <c r="H150" s="203" t="s">
        <v>736</v>
      </c>
      <c r="I150" s="203"/>
      <c r="J150" s="203"/>
      <c r="K150" s="233">
        <v>22</v>
      </c>
      <c r="L150" s="242">
        <v>23120</v>
      </c>
      <c r="M150" s="242">
        <v>23120</v>
      </c>
      <c r="N150" s="242">
        <v>21732.800000000003</v>
      </c>
      <c r="O150" s="242">
        <v>21732.800000000003</v>
      </c>
      <c r="P150" s="242">
        <v>21732.800000000003</v>
      </c>
      <c r="Q150" s="242">
        <v>24</v>
      </c>
      <c r="R150" s="243"/>
      <c r="S150" s="270">
        <v>1.35</v>
      </c>
      <c r="T150" s="270">
        <v>1.45</v>
      </c>
      <c r="U150" s="270">
        <v>1.7</v>
      </c>
      <c r="V150" s="270">
        <v>1.7</v>
      </c>
      <c r="W150" s="270">
        <v>1.7</v>
      </c>
      <c r="X150" s="203"/>
      <c r="Y150" s="231"/>
      <c r="Z150" s="231"/>
      <c r="AA150" s="231"/>
      <c r="AB150" s="231"/>
      <c r="AC150" s="231"/>
      <c r="AD150" s="231"/>
      <c r="AE150" s="284">
        <v>1</v>
      </c>
      <c r="AF150" s="284">
        <v>1</v>
      </c>
      <c r="AG150" s="284"/>
      <c r="AH150" s="172"/>
      <c r="AI150" s="172"/>
      <c r="AJ150" s="172"/>
      <c r="AK150" s="172"/>
      <c r="AL150" s="172"/>
      <c r="AM150" s="172"/>
      <c r="AN150" s="172"/>
      <c r="AO150" s="203"/>
      <c r="AP150" s="262"/>
      <c r="AQ150" s="203"/>
      <c r="AR150" s="242"/>
      <c r="AS150" s="242"/>
      <c r="AT150" s="201"/>
    </row>
    <row r="151" spans="1:46" x14ac:dyDescent="0.2">
      <c r="A151" s="201" t="s">
        <v>634</v>
      </c>
      <c r="B151" s="201" t="s">
        <v>754</v>
      </c>
      <c r="C151" s="201" t="s">
        <v>640</v>
      </c>
      <c r="D151" s="201" t="s">
        <v>437</v>
      </c>
      <c r="E151" s="169" t="str">
        <f>E150&amp;" + add costs"</f>
        <v>GHP – absorption heat pump air/brine to water_large + add costs</v>
      </c>
      <c r="F151" s="201" t="s">
        <v>585</v>
      </c>
      <c r="G151" s="201" t="s">
        <v>82</v>
      </c>
      <c r="H151" s="201" t="s">
        <v>746</v>
      </c>
      <c r="I151" s="201"/>
      <c r="J151" s="201"/>
      <c r="K151" s="215">
        <f>K27</f>
        <v>22</v>
      </c>
      <c r="L151" s="216">
        <v>25432.000000000004</v>
      </c>
      <c r="M151" s="216">
        <v>25432.000000000004</v>
      </c>
      <c r="N151" s="216">
        <v>23906.080000000005</v>
      </c>
      <c r="O151" s="216">
        <v>23906.080000000005</v>
      </c>
      <c r="P151" s="216">
        <v>23906.080000000005</v>
      </c>
      <c r="Q151" s="216">
        <v>26.400000000000002</v>
      </c>
      <c r="R151" s="201"/>
      <c r="S151" s="235">
        <f>S27</f>
        <v>1.35</v>
      </c>
      <c r="T151" s="235">
        <f>T27</f>
        <v>1.45</v>
      </c>
      <c r="U151" s="235">
        <f>U27</f>
        <v>1.7</v>
      </c>
      <c r="V151" s="235">
        <f>V27</f>
        <v>1.7</v>
      </c>
      <c r="W151" s="235">
        <f>W27</f>
        <v>1.7</v>
      </c>
      <c r="X151" s="201"/>
      <c r="Y151" s="201"/>
      <c r="Z151" s="201"/>
      <c r="AA151" s="201"/>
      <c r="AB151" s="201"/>
      <c r="AC151" s="201"/>
      <c r="AD151" s="201"/>
      <c r="AE151" s="281">
        <f>AE27</f>
        <v>1</v>
      </c>
      <c r="AF151" s="281">
        <f>AF27</f>
        <v>1</v>
      </c>
      <c r="AG151" s="281">
        <v>1</v>
      </c>
      <c r="AH151" s="180"/>
      <c r="AI151" s="180"/>
      <c r="AJ151" s="180"/>
      <c r="AK151" s="180"/>
      <c r="AL151" s="180"/>
      <c r="AM151" s="180"/>
      <c r="AN151" s="180">
        <v>1.1000000000000001</v>
      </c>
      <c r="AO151" s="201"/>
      <c r="AP151" s="262"/>
      <c r="AQ151" s="201"/>
      <c r="AR151" s="216"/>
      <c r="AS151" s="216"/>
      <c r="AT151" s="201"/>
    </row>
    <row r="152" spans="1:46" x14ac:dyDescent="0.2">
      <c r="A152" s="201" t="s">
        <v>634</v>
      </c>
      <c r="B152" s="201" t="s">
        <v>755</v>
      </c>
      <c r="C152" s="201" t="s">
        <v>641</v>
      </c>
      <c r="D152" s="201" t="s">
        <v>437</v>
      </c>
      <c r="E152" s="192" t="s">
        <v>777</v>
      </c>
      <c r="F152" s="201" t="s">
        <v>585</v>
      </c>
      <c r="G152" s="201" t="s">
        <v>82</v>
      </c>
      <c r="H152" s="201" t="s">
        <v>736</v>
      </c>
      <c r="I152" s="201"/>
      <c r="J152" s="201"/>
      <c r="K152" s="233">
        <v>20</v>
      </c>
      <c r="L152" s="242">
        <v>12997.333333333334</v>
      </c>
      <c r="M152" s="242">
        <v>12997.333333333334</v>
      </c>
      <c r="N152" s="242">
        <v>12997.333333333334</v>
      </c>
      <c r="O152" s="242">
        <v>12997.333333333334</v>
      </c>
      <c r="P152" s="242">
        <v>12997.333333333334</v>
      </c>
      <c r="Q152" s="242">
        <v>181.33333333333334</v>
      </c>
      <c r="R152" s="243"/>
      <c r="S152" s="235">
        <v>1.1200000000000001</v>
      </c>
      <c r="T152" s="201">
        <v>1.1200000000000001</v>
      </c>
      <c r="U152" s="201">
        <v>1.1200000000000001</v>
      </c>
      <c r="V152" s="201">
        <v>1.1200000000000001</v>
      </c>
      <c r="W152" s="201">
        <v>1.1200000000000001</v>
      </c>
      <c r="X152" s="201"/>
      <c r="Y152" s="244"/>
      <c r="Z152" s="244"/>
      <c r="AA152" s="244"/>
      <c r="AB152" s="244"/>
      <c r="AC152" s="244"/>
      <c r="AD152" s="244"/>
      <c r="AE152" s="287">
        <v>1</v>
      </c>
      <c r="AF152" s="287">
        <v>1</v>
      </c>
      <c r="AG152" s="287"/>
      <c r="AH152" s="182"/>
      <c r="AI152" s="182"/>
      <c r="AJ152" s="182"/>
      <c r="AK152" s="182"/>
      <c r="AL152" s="182"/>
      <c r="AM152" s="182"/>
      <c r="AN152" s="182"/>
      <c r="AO152" s="201"/>
      <c r="AP152" s="262"/>
      <c r="AQ152" s="201"/>
      <c r="AR152" s="242"/>
      <c r="AS152" s="242"/>
      <c r="AT152" s="201"/>
    </row>
    <row r="153" spans="1:46" x14ac:dyDescent="0.2">
      <c r="A153" s="201" t="s">
        <v>634</v>
      </c>
      <c r="B153" s="201" t="s">
        <v>756</v>
      </c>
      <c r="C153" s="201" t="s">
        <v>642</v>
      </c>
      <c r="D153" s="201" t="s">
        <v>437</v>
      </c>
      <c r="E153" s="192" t="str">
        <f>E152&amp;" + add costs"</f>
        <v>GHP – adsorption heat pump brine to water + Solar thermal collectors + add costs</v>
      </c>
      <c r="F153" s="201" t="s">
        <v>585</v>
      </c>
      <c r="G153" s="201" t="s">
        <v>82</v>
      </c>
      <c r="H153" s="205" t="s">
        <v>746</v>
      </c>
      <c r="I153" s="201"/>
      <c r="J153" s="201"/>
      <c r="K153" s="215">
        <f>K29</f>
        <v>20</v>
      </c>
      <c r="L153" s="223">
        <v>14297.066666666669</v>
      </c>
      <c r="M153" s="223">
        <v>14297.066666666669</v>
      </c>
      <c r="N153" s="223">
        <v>14297.066666666669</v>
      </c>
      <c r="O153" s="223">
        <v>14297.066666666669</v>
      </c>
      <c r="P153" s="223">
        <v>14297.066666666669</v>
      </c>
      <c r="Q153" s="223">
        <v>199.4666666666667</v>
      </c>
      <c r="R153" s="201"/>
      <c r="S153" s="235">
        <f>S29</f>
        <v>1.1200000000000001</v>
      </c>
      <c r="T153" s="201">
        <f>T29</f>
        <v>1.1200000000000001</v>
      </c>
      <c r="U153" s="201">
        <f>U29</f>
        <v>1.1200000000000001</v>
      </c>
      <c r="V153" s="201">
        <f>V29</f>
        <v>1.1200000000000001</v>
      </c>
      <c r="W153" s="201">
        <f>W29</f>
        <v>1.1200000000000001</v>
      </c>
      <c r="X153" s="201"/>
      <c r="Y153" s="201"/>
      <c r="Z153" s="201"/>
      <c r="AA153" s="201"/>
      <c r="AB153" s="201"/>
      <c r="AC153" s="201"/>
      <c r="AD153" s="201"/>
      <c r="AE153" s="281">
        <f>AE29</f>
        <v>1</v>
      </c>
      <c r="AF153" s="281">
        <f>AF29</f>
        <v>1</v>
      </c>
      <c r="AG153" s="281">
        <v>1</v>
      </c>
      <c r="AH153" s="180"/>
      <c r="AI153" s="180"/>
      <c r="AJ153" s="180"/>
      <c r="AK153" s="180"/>
      <c r="AL153" s="180"/>
      <c r="AM153" s="180"/>
      <c r="AN153" s="180">
        <v>1.1000000000000001</v>
      </c>
      <c r="AO153" s="201"/>
      <c r="AP153" s="262"/>
      <c r="AQ153" s="201"/>
      <c r="AR153" s="223"/>
      <c r="AS153" s="223"/>
      <c r="AT153" s="201"/>
    </row>
    <row r="154" spans="1:46" x14ac:dyDescent="0.2">
      <c r="A154" s="201" t="s">
        <v>634</v>
      </c>
      <c r="B154" s="201" t="s">
        <v>757</v>
      </c>
      <c r="C154" s="201" t="s">
        <v>644</v>
      </c>
      <c r="D154" s="201" t="s">
        <v>437</v>
      </c>
      <c r="E154" s="192" t="s">
        <v>778</v>
      </c>
      <c r="F154" s="201" t="s">
        <v>585</v>
      </c>
      <c r="G154" s="201" t="s">
        <v>82</v>
      </c>
      <c r="H154" s="201" t="s">
        <v>736</v>
      </c>
      <c r="I154" s="201"/>
      <c r="J154" s="201"/>
      <c r="K154" s="228">
        <v>20</v>
      </c>
      <c r="L154" s="242">
        <v>31666.666666666668</v>
      </c>
      <c r="M154" s="242">
        <v>31666.666666666668</v>
      </c>
      <c r="N154" s="242">
        <v>31666.666666666668</v>
      </c>
      <c r="O154" s="242">
        <v>31666.666666666668</v>
      </c>
      <c r="P154" s="242">
        <v>31666.666666666668</v>
      </c>
      <c r="Q154" s="263">
        <v>90</v>
      </c>
      <c r="R154" s="243"/>
      <c r="S154" s="241">
        <v>1.5</v>
      </c>
      <c r="T154" s="241">
        <v>1.55</v>
      </c>
      <c r="U154" s="241">
        <v>1.55</v>
      </c>
      <c r="V154" s="241">
        <v>1.6</v>
      </c>
      <c r="W154" s="241">
        <v>1.6</v>
      </c>
      <c r="X154" s="201"/>
      <c r="Y154" s="231"/>
      <c r="Z154" s="231"/>
      <c r="AA154" s="231"/>
      <c r="AB154" s="231"/>
      <c r="AC154" s="231"/>
      <c r="AD154" s="231"/>
      <c r="AE154" s="284">
        <v>1</v>
      </c>
      <c r="AF154" s="284">
        <v>1</v>
      </c>
      <c r="AG154" s="284"/>
      <c r="AH154" s="172"/>
      <c r="AI154" s="172"/>
      <c r="AJ154" s="172"/>
      <c r="AK154" s="172"/>
      <c r="AL154" s="172"/>
      <c r="AM154" s="172"/>
      <c r="AN154" s="172"/>
      <c r="AO154" s="203"/>
      <c r="AP154" s="262"/>
      <c r="AQ154" s="201" t="s">
        <v>645</v>
      </c>
      <c r="AR154" s="242"/>
      <c r="AS154" s="242"/>
      <c r="AT154" s="201"/>
    </row>
    <row r="155" spans="1:46" x14ac:dyDescent="0.2">
      <c r="A155" s="206" t="s">
        <v>634</v>
      </c>
      <c r="B155" s="206" t="s">
        <v>758</v>
      </c>
      <c r="C155" s="206" t="s">
        <v>647</v>
      </c>
      <c r="D155" s="206" t="s">
        <v>437</v>
      </c>
      <c r="E155" s="193" t="str">
        <f>E154&amp;" + add costs"</f>
        <v>GHP – gas engine driven heat pump air/brine to water + add costs</v>
      </c>
      <c r="F155" s="206" t="s">
        <v>585</v>
      </c>
      <c r="G155" s="206" t="s">
        <v>82</v>
      </c>
      <c r="H155" s="206" t="s">
        <v>746</v>
      </c>
      <c r="I155" s="201"/>
      <c r="J155" s="201"/>
      <c r="K155" s="237">
        <f>K31</f>
        <v>20</v>
      </c>
      <c r="L155" s="238">
        <v>34833.333333333336</v>
      </c>
      <c r="M155" s="238">
        <v>34833.333333333336</v>
      </c>
      <c r="N155" s="238">
        <v>34833.333333333336</v>
      </c>
      <c r="O155" s="238">
        <v>34833.333333333336</v>
      </c>
      <c r="P155" s="238">
        <v>34833.333333333336</v>
      </c>
      <c r="Q155" s="238">
        <v>99.000000000000014</v>
      </c>
      <c r="R155" s="206"/>
      <c r="S155" s="239">
        <f>S31</f>
        <v>1.5</v>
      </c>
      <c r="T155" s="239">
        <f>T31</f>
        <v>1.55</v>
      </c>
      <c r="U155" s="239">
        <f>U31</f>
        <v>1.55</v>
      </c>
      <c r="V155" s="239">
        <f>V31</f>
        <v>1.6</v>
      </c>
      <c r="W155" s="239">
        <f>W31</f>
        <v>1.6</v>
      </c>
      <c r="X155" s="206"/>
      <c r="Y155" s="206"/>
      <c r="Z155" s="206"/>
      <c r="AA155" s="206"/>
      <c r="AB155" s="206"/>
      <c r="AC155" s="206"/>
      <c r="AD155" s="206"/>
      <c r="AE155" s="288">
        <f>AE31</f>
        <v>1</v>
      </c>
      <c r="AF155" s="288">
        <f>AF31</f>
        <v>1</v>
      </c>
      <c r="AG155" s="288">
        <v>1</v>
      </c>
      <c r="AH155" s="181"/>
      <c r="AI155" s="181"/>
      <c r="AJ155" s="181"/>
      <c r="AK155" s="181"/>
      <c r="AL155" s="181"/>
      <c r="AM155" s="181"/>
      <c r="AN155" s="181">
        <v>1.1000000000000001</v>
      </c>
      <c r="AO155" s="206"/>
      <c r="AP155" s="267"/>
      <c r="AQ155" s="206"/>
      <c r="AR155" s="238"/>
      <c r="AS155" s="238"/>
      <c r="AT155" s="201"/>
    </row>
    <row r="156" spans="1:46" x14ac:dyDescent="0.2">
      <c r="A156" s="207" t="s">
        <v>388</v>
      </c>
      <c r="B156" s="201" t="s">
        <v>759</v>
      </c>
      <c r="C156" s="205" t="s">
        <v>649</v>
      </c>
      <c r="D156" s="205" t="s">
        <v>437</v>
      </c>
      <c r="E156" s="174" t="s">
        <v>794</v>
      </c>
      <c r="F156" s="201" t="s">
        <v>585</v>
      </c>
      <c r="G156" s="205"/>
      <c r="H156" s="201" t="s">
        <v>815</v>
      </c>
      <c r="I156" s="201"/>
      <c r="J156" s="201"/>
      <c r="K156" s="222">
        <v>10</v>
      </c>
      <c r="L156" s="246">
        <v>68750</v>
      </c>
      <c r="M156" s="246">
        <v>68750</v>
      </c>
      <c r="N156" s="246">
        <v>51562.5</v>
      </c>
      <c r="O156" s="246">
        <v>51562.5</v>
      </c>
      <c r="P156" s="246">
        <v>41250</v>
      </c>
      <c r="Q156" s="246">
        <v>0</v>
      </c>
      <c r="R156" s="271"/>
      <c r="S156" s="247">
        <v>0.26</v>
      </c>
      <c r="T156" s="247">
        <v>0.26</v>
      </c>
      <c r="U156" s="247">
        <v>0.26</v>
      </c>
      <c r="V156" s="247">
        <v>0.26</v>
      </c>
      <c r="W156" s="247">
        <v>0.26</v>
      </c>
      <c r="X156" s="205"/>
      <c r="Y156" s="205"/>
      <c r="Z156" s="205"/>
      <c r="AA156" s="205"/>
      <c r="AB156" s="205"/>
      <c r="AC156" s="205"/>
      <c r="AD156" s="205"/>
      <c r="AE156" s="285">
        <v>0.6</v>
      </c>
      <c r="AF156" s="285"/>
      <c r="AG156" s="285"/>
      <c r="AH156" s="248">
        <f t="shared" ref="AH156:AJ158" si="37">(AK33-S33)/S33</f>
        <v>2.4615384615384617</v>
      </c>
      <c r="AI156" s="248">
        <f t="shared" si="37"/>
        <v>2.4615384615384617</v>
      </c>
      <c r="AJ156" s="248">
        <f t="shared" si="37"/>
        <v>2.4615384615384617</v>
      </c>
      <c r="AK156" s="247">
        <v>0.9</v>
      </c>
      <c r="AL156" s="247">
        <v>0.9</v>
      </c>
      <c r="AM156" s="247">
        <v>0.9</v>
      </c>
      <c r="AN156" s="185"/>
      <c r="AO156" s="205" t="s">
        <v>650</v>
      </c>
      <c r="AP156" s="265"/>
      <c r="AQ156" s="205"/>
      <c r="AR156" s="246"/>
      <c r="AS156" s="246"/>
      <c r="AT156" s="201"/>
    </row>
    <row r="157" spans="1:46" x14ac:dyDescent="0.2">
      <c r="A157" s="207" t="s">
        <v>388</v>
      </c>
      <c r="B157" s="201" t="s">
        <v>760</v>
      </c>
      <c r="C157" s="205" t="s">
        <v>696</v>
      </c>
      <c r="D157" s="205" t="s">
        <v>437</v>
      </c>
      <c r="E157" s="174" t="s">
        <v>794</v>
      </c>
      <c r="F157" s="201" t="s">
        <v>570</v>
      </c>
      <c r="G157" s="205"/>
      <c r="H157" s="201" t="s">
        <v>815</v>
      </c>
      <c r="I157" s="201"/>
      <c r="J157" s="201"/>
      <c r="K157" s="222">
        <v>10</v>
      </c>
      <c r="L157" s="246">
        <v>68750</v>
      </c>
      <c r="M157" s="246">
        <v>68750</v>
      </c>
      <c r="N157" s="246">
        <v>51562.5</v>
      </c>
      <c r="O157" s="246">
        <v>51562.5</v>
      </c>
      <c r="P157" s="246">
        <v>41250</v>
      </c>
      <c r="Q157" s="223">
        <v>0</v>
      </c>
      <c r="R157" s="205"/>
      <c r="S157" s="247">
        <v>0.26</v>
      </c>
      <c r="T157" s="247">
        <v>0.26</v>
      </c>
      <c r="U157" s="247">
        <v>0.26</v>
      </c>
      <c r="V157" s="247">
        <v>0.26</v>
      </c>
      <c r="W157" s="247">
        <v>0.26</v>
      </c>
      <c r="X157" s="205"/>
      <c r="Y157" s="205"/>
      <c r="Z157" s="205"/>
      <c r="AA157" s="205"/>
      <c r="AB157" s="205"/>
      <c r="AC157" s="205"/>
      <c r="AD157" s="205"/>
      <c r="AE157" s="285">
        <v>0.6</v>
      </c>
      <c r="AF157" s="285"/>
      <c r="AG157" s="285"/>
      <c r="AH157" s="248">
        <f t="shared" si="37"/>
        <v>2.4615384615384617</v>
      </c>
      <c r="AI157" s="248">
        <f t="shared" si="37"/>
        <v>2.4615384615384617</v>
      </c>
      <c r="AJ157" s="248">
        <f t="shared" si="37"/>
        <v>2.4615384615384617</v>
      </c>
      <c r="AK157" s="247">
        <v>0.9</v>
      </c>
      <c r="AL157" s="247">
        <v>0.9</v>
      </c>
      <c r="AM157" s="247">
        <v>0.9</v>
      </c>
      <c r="AN157" s="185"/>
      <c r="AO157" s="205"/>
      <c r="AP157" s="265"/>
      <c r="AQ157" s="205"/>
      <c r="AR157" s="246"/>
      <c r="AS157" s="246"/>
      <c r="AT157" s="201"/>
    </row>
    <row r="158" spans="1:46" x14ac:dyDescent="0.2">
      <c r="A158" s="207" t="s">
        <v>388</v>
      </c>
      <c r="B158" s="201" t="s">
        <v>761</v>
      </c>
      <c r="C158" s="201" t="s">
        <v>654</v>
      </c>
      <c r="D158" s="201" t="s">
        <v>437</v>
      </c>
      <c r="E158" s="169" t="s">
        <v>795</v>
      </c>
      <c r="F158" s="201" t="s">
        <v>585</v>
      </c>
      <c r="G158" s="201"/>
      <c r="H158" s="201" t="s">
        <v>815</v>
      </c>
      <c r="I158" s="201"/>
      <c r="J158" s="201"/>
      <c r="K158" s="215">
        <v>10</v>
      </c>
      <c r="L158" s="272">
        <v>17550</v>
      </c>
      <c r="M158" s="216">
        <v>17550</v>
      </c>
      <c r="N158" s="216">
        <v>17550</v>
      </c>
      <c r="O158" s="216"/>
      <c r="P158" s="216"/>
      <c r="Q158" s="216"/>
      <c r="R158" s="216"/>
      <c r="S158" s="249">
        <v>0.2</v>
      </c>
      <c r="T158" s="249">
        <v>0.22</v>
      </c>
      <c r="U158" s="249">
        <v>0.25</v>
      </c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81">
        <v>0.6</v>
      </c>
      <c r="AF158" s="281"/>
      <c r="AG158" s="281"/>
      <c r="AH158" s="248">
        <f t="shared" si="37"/>
        <v>2.25</v>
      </c>
      <c r="AI158" s="248">
        <f t="shared" si="37"/>
        <v>2.1818181818181817</v>
      </c>
      <c r="AJ158" s="248">
        <f t="shared" si="37"/>
        <v>1.9</v>
      </c>
      <c r="AK158" s="250">
        <v>0.65</v>
      </c>
      <c r="AL158" s="250">
        <v>0.7</v>
      </c>
      <c r="AM158" s="250">
        <v>0.72499999999999998</v>
      </c>
      <c r="AN158" s="201"/>
      <c r="AO158" s="201" t="s">
        <v>579</v>
      </c>
      <c r="AP158" s="262"/>
      <c r="AQ158" s="201" t="s">
        <v>655</v>
      </c>
      <c r="AR158" s="216"/>
      <c r="AS158" s="216"/>
      <c r="AT158" s="201"/>
    </row>
    <row r="159" spans="1:46" x14ac:dyDescent="0.2">
      <c r="A159" s="207" t="s">
        <v>388</v>
      </c>
      <c r="B159" s="201" t="s">
        <v>762</v>
      </c>
      <c r="C159" s="201" t="s">
        <v>657</v>
      </c>
      <c r="D159" s="201" t="s">
        <v>437</v>
      </c>
      <c r="E159" s="192" t="s">
        <v>781</v>
      </c>
      <c r="F159" s="201" t="s">
        <v>570</v>
      </c>
      <c r="G159" s="201"/>
      <c r="H159" s="201" t="s">
        <v>815</v>
      </c>
      <c r="I159" s="201"/>
      <c r="J159" s="201"/>
      <c r="K159" s="215">
        <v>10</v>
      </c>
      <c r="L159" s="216">
        <v>16000</v>
      </c>
      <c r="M159" s="216">
        <v>13140</v>
      </c>
      <c r="N159" s="216">
        <v>11281</v>
      </c>
      <c r="O159" s="216">
        <v>11281</v>
      </c>
      <c r="P159" s="216">
        <v>11281</v>
      </c>
      <c r="Q159" s="216">
        <v>206.66666666666666</v>
      </c>
      <c r="R159" s="201"/>
      <c r="S159" s="249">
        <v>0.2</v>
      </c>
      <c r="T159" s="249">
        <v>0.22</v>
      </c>
      <c r="U159" s="249">
        <v>0.25</v>
      </c>
      <c r="V159" s="201"/>
      <c r="W159" s="201"/>
      <c r="X159" s="201"/>
      <c r="Y159" s="201"/>
      <c r="Z159" s="201"/>
      <c r="AA159" s="201"/>
      <c r="AB159" s="201"/>
      <c r="AC159" s="201"/>
      <c r="AD159" s="201"/>
      <c r="AE159" s="281">
        <v>0.6</v>
      </c>
      <c r="AF159" s="281"/>
      <c r="AG159" s="281"/>
      <c r="AH159" s="186">
        <f>AH35</f>
        <v>2.25</v>
      </c>
      <c r="AI159" s="186">
        <f>AI35</f>
        <v>2.1818181818181817</v>
      </c>
      <c r="AJ159" s="186">
        <f>AJ35</f>
        <v>1.9</v>
      </c>
      <c r="AK159" s="250">
        <v>0.65</v>
      </c>
      <c r="AL159" s="250">
        <v>0.7</v>
      </c>
      <c r="AM159" s="250">
        <v>0.72499999999999998</v>
      </c>
      <c r="AN159" s="201"/>
      <c r="AO159" s="201" t="s">
        <v>579</v>
      </c>
      <c r="AP159" s="262"/>
      <c r="AQ159" s="201"/>
      <c r="AR159" s="216"/>
      <c r="AS159" s="216"/>
      <c r="AT159" s="201"/>
    </row>
    <row r="160" spans="1:46" x14ac:dyDescent="0.2">
      <c r="A160" s="207" t="s">
        <v>388</v>
      </c>
      <c r="B160" s="201" t="s">
        <v>763</v>
      </c>
      <c r="C160" s="201" t="s">
        <v>659</v>
      </c>
      <c r="D160" s="201" t="s">
        <v>437</v>
      </c>
      <c r="E160" s="169" t="s">
        <v>796</v>
      </c>
      <c r="F160" s="201" t="s">
        <v>585</v>
      </c>
      <c r="G160" s="201"/>
      <c r="H160" s="201" t="s">
        <v>815</v>
      </c>
      <c r="I160" s="201"/>
      <c r="J160" s="201"/>
      <c r="K160" s="215">
        <v>10</v>
      </c>
      <c r="L160" s="216">
        <v>13333.333333333334</v>
      </c>
      <c r="M160" s="216">
        <v>12000</v>
      </c>
      <c r="N160" s="216">
        <v>10000</v>
      </c>
      <c r="O160" s="216"/>
      <c r="P160" s="216"/>
      <c r="Q160" s="216"/>
      <c r="R160" s="215"/>
      <c r="S160" s="249">
        <v>0.12</v>
      </c>
      <c r="T160" s="249">
        <v>0.14000000000000001</v>
      </c>
      <c r="U160" s="249">
        <v>0.16</v>
      </c>
      <c r="V160" s="201"/>
      <c r="W160" s="201"/>
      <c r="X160" s="201"/>
      <c r="Y160" s="201"/>
      <c r="Z160" s="201"/>
      <c r="AA160" s="201"/>
      <c r="AB160" s="201"/>
      <c r="AC160" s="201"/>
      <c r="AD160" s="201"/>
      <c r="AE160" s="281">
        <v>0.6</v>
      </c>
      <c r="AF160" s="281"/>
      <c r="AG160" s="281"/>
      <c r="AH160" s="248">
        <f t="shared" ref="AH160:AJ162" si="38">(AK37-S37)/S37</f>
        <v>5.4583333333333339</v>
      </c>
      <c r="AI160" s="248">
        <f t="shared" si="38"/>
        <v>4.7142857142857144</v>
      </c>
      <c r="AJ160" s="248">
        <f t="shared" si="38"/>
        <v>4.1562499999999991</v>
      </c>
      <c r="AK160" s="250">
        <v>0.77500000000000002</v>
      </c>
      <c r="AL160" s="250">
        <v>0.8</v>
      </c>
      <c r="AM160" s="250">
        <v>0.82499999999999996</v>
      </c>
      <c r="AN160" s="201"/>
      <c r="AO160" s="201" t="s">
        <v>579</v>
      </c>
      <c r="AP160" s="262"/>
      <c r="AQ160" s="201" t="s">
        <v>660</v>
      </c>
      <c r="AR160" s="216"/>
      <c r="AS160" s="216"/>
      <c r="AT160" s="201"/>
    </row>
    <row r="161" spans="1:46" x14ac:dyDescent="0.2">
      <c r="A161" s="207" t="s">
        <v>388</v>
      </c>
      <c r="B161" s="201" t="s">
        <v>764</v>
      </c>
      <c r="C161" s="201" t="s">
        <v>662</v>
      </c>
      <c r="D161" s="201" t="s">
        <v>437</v>
      </c>
      <c r="E161" s="169" t="s">
        <v>782</v>
      </c>
      <c r="F161" s="201" t="s">
        <v>83</v>
      </c>
      <c r="G161" s="201"/>
      <c r="H161" s="201" t="s">
        <v>815</v>
      </c>
      <c r="I161" s="201"/>
      <c r="J161" s="201"/>
      <c r="K161" s="215">
        <v>10</v>
      </c>
      <c r="L161" s="216">
        <v>15372</v>
      </c>
      <c r="M161" s="216">
        <v>15600.5</v>
      </c>
      <c r="N161" s="216">
        <v>7562.333333333333</v>
      </c>
      <c r="O161" s="216">
        <v>7562.333333333333</v>
      </c>
      <c r="P161" s="216">
        <v>4255.666666666667</v>
      </c>
      <c r="Q161" s="216">
        <v>182.66666666666666</v>
      </c>
      <c r="R161" s="201"/>
      <c r="S161" s="249">
        <v>0.375</v>
      </c>
      <c r="T161" s="249">
        <v>0.45</v>
      </c>
      <c r="U161" s="249">
        <v>0.47499999999999998</v>
      </c>
      <c r="V161" s="201"/>
      <c r="W161" s="201"/>
      <c r="X161" s="201"/>
      <c r="Y161" s="201"/>
      <c r="Z161" s="201"/>
      <c r="AA161" s="201"/>
      <c r="AB161" s="201"/>
      <c r="AC161" s="201"/>
      <c r="AD161" s="201"/>
      <c r="AE161" s="281">
        <v>0.6</v>
      </c>
      <c r="AF161" s="281"/>
      <c r="AG161" s="281"/>
      <c r="AH161" s="248">
        <f t="shared" si="38"/>
        <v>0.46666666666666679</v>
      </c>
      <c r="AI161" s="248">
        <f t="shared" si="38"/>
        <v>0.16666666666666669</v>
      </c>
      <c r="AJ161" s="248">
        <f t="shared" si="38"/>
        <v>0.10526315789473695</v>
      </c>
      <c r="AK161" s="250">
        <v>0.55000000000000004</v>
      </c>
      <c r="AL161" s="250">
        <v>0.52500000000000002</v>
      </c>
      <c r="AM161" s="250">
        <v>0.52500000000000002</v>
      </c>
      <c r="AN161" s="201"/>
      <c r="AO161" s="201" t="s">
        <v>579</v>
      </c>
      <c r="AP161" s="262"/>
      <c r="AQ161" s="201" t="s">
        <v>663</v>
      </c>
      <c r="AR161" s="216"/>
      <c r="AS161" s="216"/>
      <c r="AT161" s="201"/>
    </row>
    <row r="162" spans="1:46" x14ac:dyDescent="0.2">
      <c r="A162" s="209" t="s">
        <v>388</v>
      </c>
      <c r="B162" s="205" t="s">
        <v>765</v>
      </c>
      <c r="C162" s="205" t="s">
        <v>665</v>
      </c>
      <c r="D162" s="205" t="s">
        <v>437</v>
      </c>
      <c r="E162" s="169" t="s">
        <v>783</v>
      </c>
      <c r="F162" s="205" t="s">
        <v>92</v>
      </c>
      <c r="G162" s="205"/>
      <c r="H162" s="201" t="s">
        <v>815</v>
      </c>
      <c r="I162" s="201"/>
      <c r="J162" s="201"/>
      <c r="K162" s="222">
        <v>10</v>
      </c>
      <c r="L162" s="223">
        <v>8666.6666666666661</v>
      </c>
      <c r="M162" s="223">
        <v>4600</v>
      </c>
      <c r="N162" s="223">
        <v>3400</v>
      </c>
      <c r="O162" s="223"/>
      <c r="P162" s="223"/>
      <c r="Q162" s="223">
        <v>500</v>
      </c>
      <c r="R162" s="205"/>
      <c r="S162" s="249">
        <v>0.47499999999999998</v>
      </c>
      <c r="T162" s="249">
        <v>0.505</v>
      </c>
      <c r="U162" s="249">
        <v>0.54500000000000004</v>
      </c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85">
        <v>0.6</v>
      </c>
      <c r="AF162" s="285"/>
      <c r="AG162" s="285"/>
      <c r="AH162" s="251">
        <f t="shared" si="38"/>
        <v>-0.15789473684210517</v>
      </c>
      <c r="AI162" s="251">
        <f t="shared" si="38"/>
        <v>-0.12871287128712872</v>
      </c>
      <c r="AJ162" s="251">
        <f t="shared" si="38"/>
        <v>-0.17431192660550462</v>
      </c>
      <c r="AK162" s="250">
        <v>0.4</v>
      </c>
      <c r="AL162" s="250">
        <v>0.44</v>
      </c>
      <c r="AM162" s="250">
        <v>0.45</v>
      </c>
      <c r="AN162" s="205"/>
      <c r="AO162" s="205" t="s">
        <v>579</v>
      </c>
      <c r="AP162" s="265"/>
      <c r="AQ162" s="205" t="s">
        <v>666</v>
      </c>
      <c r="AR162" s="223"/>
      <c r="AS162" s="223"/>
      <c r="AT162" s="201"/>
    </row>
    <row r="163" spans="1:46" x14ac:dyDescent="0.2">
      <c r="A163" s="202" t="s">
        <v>799</v>
      </c>
      <c r="B163" s="201" t="s">
        <v>805</v>
      </c>
      <c r="C163" s="203" t="s">
        <v>667</v>
      </c>
      <c r="D163" s="203" t="s">
        <v>437</v>
      </c>
      <c r="E163" s="174" t="s">
        <v>786</v>
      </c>
      <c r="F163" s="201" t="s">
        <v>610</v>
      </c>
      <c r="G163" s="201"/>
      <c r="H163" s="205" t="s">
        <v>736</v>
      </c>
      <c r="I163" s="201"/>
      <c r="J163" s="201"/>
      <c r="K163" s="222">
        <f>K4</f>
        <v>20</v>
      </c>
      <c r="L163" s="223">
        <v>2742</v>
      </c>
      <c r="M163" s="223">
        <v>2399.25</v>
      </c>
      <c r="N163" s="223">
        <v>2056.5</v>
      </c>
      <c r="O163" s="223">
        <v>2056.5</v>
      </c>
      <c r="P163" s="223">
        <v>2056.5</v>
      </c>
      <c r="Q163" s="223">
        <v>220</v>
      </c>
      <c r="R163" s="205"/>
      <c r="S163" s="224">
        <v>0.84679858006836706</v>
      </c>
      <c r="T163" s="224">
        <v>0.84679858006836706</v>
      </c>
      <c r="U163" s="224">
        <v>0.84679858006836706</v>
      </c>
      <c r="V163" s="224">
        <v>0.84679858006836706</v>
      </c>
      <c r="W163" s="224">
        <v>0.84679858006836706</v>
      </c>
      <c r="X163" s="184"/>
      <c r="Y163" s="205"/>
      <c r="Z163" s="205"/>
      <c r="AA163" s="205"/>
      <c r="AB163" s="205"/>
      <c r="AC163" s="205"/>
      <c r="AD163" s="205"/>
      <c r="AE163" s="285">
        <v>0.4</v>
      </c>
      <c r="AF163" s="285">
        <v>1</v>
      </c>
      <c r="AG163" s="285"/>
      <c r="AH163" s="251"/>
      <c r="AI163" s="251"/>
      <c r="AJ163" s="251"/>
      <c r="AK163" s="187"/>
      <c r="AL163" s="187"/>
      <c r="AM163" s="187"/>
      <c r="AN163" s="205"/>
      <c r="AO163" s="205"/>
      <c r="AP163" s="265"/>
      <c r="AQ163" s="205"/>
      <c r="AR163" s="223"/>
      <c r="AS163" s="223"/>
      <c r="AT163" s="201"/>
    </row>
    <row r="164" spans="1:46" x14ac:dyDescent="0.2">
      <c r="A164" s="210" t="s">
        <v>799</v>
      </c>
      <c r="B164" s="206" t="s">
        <v>806</v>
      </c>
      <c r="C164" s="208" t="s">
        <v>668</v>
      </c>
      <c r="D164" s="208" t="s">
        <v>437</v>
      </c>
      <c r="E164" s="176" t="s">
        <v>784</v>
      </c>
      <c r="F164" s="206" t="s">
        <v>669</v>
      </c>
      <c r="G164" s="206"/>
      <c r="H164" s="206" t="s">
        <v>736</v>
      </c>
      <c r="I164" s="201"/>
      <c r="J164" s="201"/>
      <c r="K164" s="237">
        <f>K8</f>
        <v>22</v>
      </c>
      <c r="L164" s="238">
        <v>3375</v>
      </c>
      <c r="M164" s="238">
        <v>3375</v>
      </c>
      <c r="N164" s="238">
        <v>3375</v>
      </c>
      <c r="O164" s="238">
        <v>3375</v>
      </c>
      <c r="P164" s="238">
        <v>3375</v>
      </c>
      <c r="Q164" s="238">
        <v>23.125</v>
      </c>
      <c r="R164" s="206"/>
      <c r="S164" s="252">
        <v>0.84595205954248598</v>
      </c>
      <c r="T164" s="252">
        <v>0.84595205954248598</v>
      </c>
      <c r="U164" s="252">
        <v>0.84595205954248598</v>
      </c>
      <c r="V164" s="252">
        <v>0.84595205954248598</v>
      </c>
      <c r="W164" s="252">
        <v>0.84595205954248598</v>
      </c>
      <c r="X164" s="188"/>
      <c r="Y164" s="206"/>
      <c r="Z164" s="206"/>
      <c r="AA164" s="206"/>
      <c r="AB164" s="206"/>
      <c r="AC164" s="206"/>
      <c r="AD164" s="206"/>
      <c r="AE164" s="288">
        <v>0.4</v>
      </c>
      <c r="AF164" s="288">
        <v>1</v>
      </c>
      <c r="AG164" s="288"/>
      <c r="AH164" s="253"/>
      <c r="AI164" s="253"/>
      <c r="AJ164" s="253"/>
      <c r="AK164" s="189"/>
      <c r="AL164" s="189"/>
      <c r="AM164" s="189"/>
      <c r="AN164" s="206"/>
      <c r="AO164" s="206"/>
      <c r="AP164" s="267"/>
      <c r="AQ164" s="206"/>
      <c r="AR164" s="238"/>
      <c r="AS164" s="238"/>
      <c r="AT164" s="201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499984740745262"/>
  </sheetPr>
  <dimension ref="A1:X184"/>
  <sheetViews>
    <sheetView zoomScale="85" zoomScaleNormal="85" workbookViewId="0">
      <pane ySplit="5" topLeftCell="A6" activePane="bottomLeft" state="frozen"/>
      <selection activeCell="K4" sqref="K4"/>
      <selection pane="bottomLeft" activeCell="D34" sqref="D34"/>
    </sheetView>
  </sheetViews>
  <sheetFormatPr defaultRowHeight="15" x14ac:dyDescent="0.25"/>
  <cols>
    <col min="1" max="1" width="26.7109375" style="145" customWidth="1"/>
    <col min="2" max="2" width="31.85546875" style="145" customWidth="1"/>
    <col min="3" max="3" width="10.5703125" style="145" customWidth="1"/>
    <col min="4" max="4" width="57.28515625" style="145" customWidth="1"/>
    <col min="5" max="8" width="9.140625" style="145"/>
    <col min="9" max="11" width="9.7109375" style="145" bestFit="1" customWidth="1"/>
    <col min="12" max="14" width="9.140625" style="145"/>
    <col min="15" max="15" width="13" style="145" customWidth="1"/>
    <col min="16" max="16" width="3.140625" style="145" customWidth="1"/>
    <col min="17" max="17" width="13.7109375" style="145" customWidth="1"/>
    <col min="18" max="18" width="28.85546875" style="145" bestFit="1" customWidth="1"/>
    <col min="19" max="19" width="73.42578125" style="145" customWidth="1"/>
    <col min="20" max="24" width="9.85546875" style="145" customWidth="1"/>
    <col min="25" max="16384" width="9.140625" style="145"/>
  </cols>
  <sheetData>
    <row r="1" spans="1:24" ht="23.25" x14ac:dyDescent="0.35">
      <c r="A1" s="143" t="s">
        <v>514</v>
      </c>
      <c r="B1" s="144"/>
      <c r="C1" s="144"/>
      <c r="D1" s="144"/>
    </row>
    <row r="3" spans="1:24" x14ac:dyDescent="0.25">
      <c r="D3" s="146" t="s">
        <v>15</v>
      </c>
      <c r="Q3" s="146" t="s">
        <v>11</v>
      </c>
    </row>
    <row r="4" spans="1:24" ht="43.5" x14ac:dyDescent="0.25">
      <c r="A4" s="147" t="s">
        <v>17</v>
      </c>
      <c r="B4" s="147" t="s">
        <v>19</v>
      </c>
      <c r="C4" s="147" t="s">
        <v>355</v>
      </c>
      <c r="D4" s="147" t="s">
        <v>20</v>
      </c>
      <c r="E4" s="148" t="s">
        <v>280</v>
      </c>
      <c r="F4" s="148" t="s">
        <v>216</v>
      </c>
      <c r="G4" s="148" t="s">
        <v>292</v>
      </c>
      <c r="H4" s="148" t="s">
        <v>66</v>
      </c>
      <c r="I4" s="214" t="s">
        <v>810</v>
      </c>
      <c r="J4" s="214" t="s">
        <v>811</v>
      </c>
      <c r="K4" s="214" t="s">
        <v>812</v>
      </c>
      <c r="L4" s="214" t="s">
        <v>389</v>
      </c>
      <c r="M4" s="214" t="s">
        <v>555</v>
      </c>
      <c r="N4" s="214" t="s">
        <v>556</v>
      </c>
      <c r="O4" s="148" t="s">
        <v>515</v>
      </c>
      <c r="Q4" s="147" t="s">
        <v>16</v>
      </c>
      <c r="R4" s="147" t="s">
        <v>17</v>
      </c>
      <c r="S4" s="147" t="s">
        <v>18</v>
      </c>
      <c r="T4" s="147" t="s">
        <v>12</v>
      </c>
      <c r="U4" s="147" t="s">
        <v>13</v>
      </c>
      <c r="V4" s="147" t="s">
        <v>14</v>
      </c>
      <c r="W4" s="147" t="s">
        <v>516</v>
      </c>
      <c r="X4" s="147" t="s">
        <v>305</v>
      </c>
    </row>
    <row r="5" spans="1:24" ht="26.25" thickBot="1" x14ac:dyDescent="0.3">
      <c r="A5" s="149" t="s">
        <v>517</v>
      </c>
      <c r="B5" s="149"/>
      <c r="C5" s="149"/>
      <c r="D5" s="149"/>
      <c r="E5" s="150"/>
      <c r="F5" s="150" t="s">
        <v>518</v>
      </c>
      <c r="G5" s="150"/>
      <c r="H5" s="150"/>
      <c r="I5" s="150"/>
      <c r="J5" s="150"/>
      <c r="K5" s="150"/>
      <c r="L5" s="150"/>
      <c r="M5" s="150"/>
      <c r="N5" s="150"/>
      <c r="O5" s="151" t="s">
        <v>519</v>
      </c>
      <c r="P5" s="152"/>
      <c r="Q5" s="153" t="s">
        <v>520</v>
      </c>
      <c r="R5" s="153" t="s">
        <v>521</v>
      </c>
      <c r="S5" s="153" t="s">
        <v>522</v>
      </c>
      <c r="T5" s="153" t="s">
        <v>523</v>
      </c>
      <c r="U5" s="153" t="s">
        <v>524</v>
      </c>
      <c r="V5" s="153"/>
      <c r="W5" s="153" t="s">
        <v>525</v>
      </c>
      <c r="X5" s="153"/>
    </row>
    <row r="6" spans="1:24" x14ac:dyDescent="0.25">
      <c r="A6" s="154" t="str">
        <f>R6</f>
        <v>*Detached pre70 (DH)</v>
      </c>
      <c r="B6" s="154"/>
      <c r="C6" s="154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Q6" s="154" t="s">
        <v>526</v>
      </c>
      <c r="R6" s="154" t="str">
        <f>RSDTechsCE!A3</f>
        <v>*Detached pre70 (DH)</v>
      </c>
      <c r="S6" s="154"/>
      <c r="T6" s="154"/>
      <c r="U6" s="154"/>
      <c r="V6" s="154"/>
      <c r="W6" s="154"/>
      <c r="X6" s="154"/>
    </row>
    <row r="7" spans="1:24" x14ac:dyDescent="0.25">
      <c r="A7" s="145" t="str">
        <f>R7</f>
        <v>R_ES-SH-DH_OIL01</v>
      </c>
      <c r="B7" s="145" t="str">
        <f>RSDTechsCE!F4</f>
        <v>RSDOIL, RSDBDL</v>
      </c>
      <c r="C7" s="145" t="str">
        <f>IF(RSDTechsCE!G4="","",RSDTechsCE!G4)</f>
        <v/>
      </c>
      <c r="D7" s="145" t="str">
        <f>IF(RSDTechsCE!H4="","",RSDTechsCE!H4)</f>
        <v>R_ES-DH-SpHeat, R_ES-DH-WatHeat</v>
      </c>
      <c r="E7" s="156">
        <v>2011</v>
      </c>
      <c r="F7" s="157">
        <f>RSDTechsCE!K4</f>
        <v>20</v>
      </c>
      <c r="G7" s="157">
        <v>1</v>
      </c>
      <c r="H7" s="156"/>
      <c r="I7" s="163">
        <v>0.9</v>
      </c>
      <c r="J7" s="163"/>
      <c r="K7" s="163">
        <f>0.7*I7</f>
        <v>0.63</v>
      </c>
      <c r="L7" s="163"/>
      <c r="M7" s="163"/>
      <c r="N7" s="163"/>
      <c r="O7" s="157"/>
      <c r="Q7" s="145" t="s">
        <v>439</v>
      </c>
      <c r="R7" s="145" t="str">
        <f>RSDTechsCE!B4</f>
        <v>R_ES-SH-DH_OIL01</v>
      </c>
      <c r="S7" s="145" t="str">
        <f>RSDTechsCE!C4&amp;" ("&amp;RSDTechsCE!D4&amp;")"</f>
        <v>Oil/Biodiesel boiler condensing_SH-WH (DH)</v>
      </c>
      <c r="T7" s="145" t="s">
        <v>31</v>
      </c>
      <c r="U7" s="145" t="s">
        <v>440</v>
      </c>
      <c r="X7" s="158"/>
    </row>
    <row r="8" spans="1:24" x14ac:dyDescent="0.25">
      <c r="A8" s="145" t="str">
        <f t="shared" ref="A8:A75" si="0">R8</f>
        <v>R_ES-SH-DH_OIL02</v>
      </c>
      <c r="B8" s="145" t="str">
        <f>RSDTechsCE!F5</f>
        <v>RSDOIL, RSDBDL</v>
      </c>
      <c r="C8" s="145" t="str">
        <f>IF(RSDTechsCE!G5="","",RSDTechsCE!G5)</f>
        <v/>
      </c>
      <c r="D8" s="145" t="str">
        <f>IF(RSDTechsCE!H5="","",RSDTechsCE!H5)</f>
        <v>R_ES-DH-SpHeat, R_ES-DH-WatHeat</v>
      </c>
      <c r="E8" s="156">
        <v>2011</v>
      </c>
      <c r="F8" s="156">
        <f>RSDTechsCE!K5</f>
        <v>20</v>
      </c>
      <c r="G8" s="157">
        <v>1</v>
      </c>
      <c r="H8" s="156"/>
      <c r="I8" s="163">
        <v>0.9</v>
      </c>
      <c r="J8" s="163"/>
      <c r="K8" s="163">
        <f t="shared" ref="K8:K21" si="1">0.7*I8</f>
        <v>0.63</v>
      </c>
      <c r="L8" s="163"/>
      <c r="M8" s="163"/>
      <c r="N8" s="163"/>
      <c r="O8" s="157"/>
      <c r="Q8" s="145" t="s">
        <v>439</v>
      </c>
      <c r="R8" s="145" t="str">
        <f>RSDTechsCE!B5</f>
        <v>R_ES-SH-DH_OIL02</v>
      </c>
      <c r="S8" s="145" t="str">
        <f>RSDTechsCE!C5&amp;" ("&amp;RSDTechsCE!D5&amp;")"</f>
        <v>Oil/Biodiesel boiler condensing + wt other techs_SH-WH  (DH)</v>
      </c>
      <c r="T8" s="145" t="s">
        <v>31</v>
      </c>
      <c r="U8" s="145" t="s">
        <v>440</v>
      </c>
      <c r="X8" s="158"/>
    </row>
    <row r="9" spans="1:24" x14ac:dyDescent="0.25">
      <c r="A9" s="145" t="str">
        <f t="shared" si="0"/>
        <v>R_ES-SH-DH_OIL02-SOLspl</v>
      </c>
      <c r="B9" s="145" t="str">
        <f>RSDTechsCE!F6</f>
        <v>RSDSOL</v>
      </c>
      <c r="C9" s="145" t="str">
        <f>IF(RSDTechsCE!G6="","",RSDTechsCE!G6)</f>
        <v/>
      </c>
      <c r="D9" s="145" t="str">
        <f>IF(RSDTechsCE!H6="","",RSDTechsCE!H6)</f>
        <v>R_ES-DH-SpHeat, R_ES-DH-WatHeat</v>
      </c>
      <c r="E9" s="156">
        <v>2011</v>
      </c>
      <c r="F9" s="156">
        <f>RSDTechsCE!K6</f>
        <v>20</v>
      </c>
      <c r="G9" s="157">
        <v>1</v>
      </c>
      <c r="H9" s="156"/>
      <c r="I9" s="163">
        <v>1</v>
      </c>
      <c r="J9" s="163"/>
      <c r="K9" s="163">
        <f t="shared" si="1"/>
        <v>0.7</v>
      </c>
      <c r="L9" s="163"/>
      <c r="M9" s="163"/>
      <c r="N9" s="163"/>
      <c r="O9" s="157"/>
      <c r="Q9" s="145" t="s">
        <v>439</v>
      </c>
      <c r="R9" s="145" t="str">
        <f>RSDTechsCE!B6</f>
        <v>R_ES-SH-DH_OIL02-SOLspl</v>
      </c>
      <c r="S9" s="145" t="str">
        <f>RSDTechsCE!C6&amp;" ("&amp;RSDTechsCE!D6&amp;")"</f>
        <v>Backup for Oil boiler - Solar thermal_SH-WH  (DH)</v>
      </c>
      <c r="T9" s="145" t="s">
        <v>31</v>
      </c>
      <c r="U9" s="145" t="s">
        <v>440</v>
      </c>
      <c r="X9" s="158"/>
    </row>
    <row r="10" spans="1:24" x14ac:dyDescent="0.25">
      <c r="A10" s="145" t="str">
        <f t="shared" si="0"/>
        <v>R_ES-SH-DH_OIL02-BIOspl</v>
      </c>
      <c r="B10" s="145" t="str">
        <f>RSDTechsCE!F7</f>
        <v>RSDBIO</v>
      </c>
      <c r="C10" s="145" t="str">
        <f>IF(RSDTechsCE!G7="","",RSDTechsCE!G7)</f>
        <v/>
      </c>
      <c r="D10" s="145" t="str">
        <f>IF(RSDTechsCE!H7="","",RSDTechsCE!H7)</f>
        <v>R_ES-DH-SpHeat</v>
      </c>
      <c r="E10" s="156">
        <v>2011</v>
      </c>
      <c r="F10" s="156">
        <f>RSDTechsCE!K7</f>
        <v>20</v>
      </c>
      <c r="G10" s="157">
        <v>1</v>
      </c>
      <c r="H10" s="156"/>
      <c r="I10" s="163">
        <v>0.65</v>
      </c>
      <c r="J10" s="163"/>
      <c r="K10" s="163"/>
      <c r="L10" s="163"/>
      <c r="M10" s="163"/>
      <c r="N10" s="163"/>
      <c r="O10" s="157"/>
      <c r="Q10" s="145" t="s">
        <v>439</v>
      </c>
      <c r="R10" s="145" t="str">
        <f>RSDTechsCE!B7</f>
        <v>R_ES-SH-DH_OIL02-BIOspl</v>
      </c>
      <c r="S10" s="145" t="str">
        <f>RSDTechsCE!C7&amp;" ("&amp;RSDTechsCE!D7&amp;")"</f>
        <v>Backup for Oil boiler - Wood stove_SH (DH)</v>
      </c>
      <c r="T10" s="145" t="s">
        <v>31</v>
      </c>
      <c r="U10" s="145" t="s">
        <v>440</v>
      </c>
      <c r="X10" s="158"/>
    </row>
    <row r="11" spans="1:24" x14ac:dyDescent="0.25">
      <c r="A11" s="145" t="str">
        <f t="shared" si="0"/>
        <v>R_ES-SH-DH_GAS01</v>
      </c>
      <c r="B11" s="145" t="str">
        <f>RSDTechsCE!F8</f>
        <v>RSDGAS, RSDLPG, RSDBGS</v>
      </c>
      <c r="C11" s="145" t="str">
        <f>IF(RSDTechsCE!G8="","",RSDTechsCE!G8)</f>
        <v/>
      </c>
      <c r="D11" s="145" t="str">
        <f>IF(RSDTechsCE!H8="","",RSDTechsCE!H8)</f>
        <v>R_ES-DH-SpHeat, R_ES-DH-WatHeat</v>
      </c>
      <c r="E11" s="156">
        <v>2011</v>
      </c>
      <c r="F11" s="156">
        <f>RSDTechsCE!K8</f>
        <v>22</v>
      </c>
      <c r="G11" s="157">
        <v>1</v>
      </c>
      <c r="H11" s="156"/>
      <c r="I11" s="163">
        <v>0.95</v>
      </c>
      <c r="J11" s="163"/>
      <c r="K11" s="163">
        <f t="shared" si="1"/>
        <v>0.66499999999999992</v>
      </c>
      <c r="L11" s="163"/>
      <c r="M11" s="163"/>
      <c r="N11" s="163"/>
      <c r="O11" s="157"/>
      <c r="Q11" s="145" t="s">
        <v>439</v>
      </c>
      <c r="R11" s="145" t="str">
        <f>RSDTechsCE!B8</f>
        <v>R_ES-SH-DH_GAS01</v>
      </c>
      <c r="S11" s="145" t="str">
        <f>RSDTechsCE!C8&amp;" ("&amp;RSDTechsCE!D8&amp;")"</f>
        <v>Gas/LPG/Biogas boiler condensing_SH-WH  (DH)</v>
      </c>
      <c r="T11" s="145" t="s">
        <v>31</v>
      </c>
      <c r="U11" s="145" t="s">
        <v>440</v>
      </c>
      <c r="X11" s="158"/>
    </row>
    <row r="12" spans="1:24" x14ac:dyDescent="0.25">
      <c r="A12" s="145" t="str">
        <f t="shared" si="0"/>
        <v>R_ES-SH-DH_GAS02</v>
      </c>
      <c r="B12" s="145" t="str">
        <f>RSDTechsCE!F9</f>
        <v>RSDGAS, RSDLPG, RSDBGS</v>
      </c>
      <c r="C12" s="145" t="str">
        <f>IF(RSDTechsCE!G9="","",RSDTechsCE!G9)</f>
        <v/>
      </c>
      <c r="D12" s="145" t="str">
        <f>IF(RSDTechsCE!H9="","",RSDTechsCE!H9)</f>
        <v>R_ES-DH-SpHeat, R_ES-DH-WatHeat</v>
      </c>
      <c r="E12" s="156">
        <v>2011</v>
      </c>
      <c r="F12" s="156">
        <f>RSDTechsCE!K9</f>
        <v>22</v>
      </c>
      <c r="G12" s="157">
        <v>1</v>
      </c>
      <c r="H12" s="156"/>
      <c r="I12" s="163">
        <v>0.95</v>
      </c>
      <c r="J12" s="163"/>
      <c r="K12" s="163">
        <f t="shared" si="1"/>
        <v>0.66499999999999992</v>
      </c>
      <c r="L12" s="163"/>
      <c r="M12" s="163"/>
      <c r="N12" s="163"/>
      <c r="O12" s="157"/>
      <c r="Q12" s="145" t="s">
        <v>439</v>
      </c>
      <c r="R12" s="145" t="str">
        <f>RSDTechsCE!B9</f>
        <v>R_ES-SH-DH_GAS02</v>
      </c>
      <c r="S12" s="145" t="str">
        <f>RSDTechsCE!C9&amp;" ("&amp;RSDTechsCE!D9&amp;")"</f>
        <v>Gas/LPG/Biogas boiler condensing + wt other techs_SH-WH (DH)</v>
      </c>
      <c r="T12" s="145" t="s">
        <v>31</v>
      </c>
      <c r="U12" s="145" t="s">
        <v>440</v>
      </c>
      <c r="X12" s="158"/>
    </row>
    <row r="13" spans="1:24" x14ac:dyDescent="0.25">
      <c r="A13" s="145" t="str">
        <f t="shared" si="0"/>
        <v>R_ES-SH-DH_GAS02-SOLspl</v>
      </c>
      <c r="B13" s="145" t="str">
        <f>RSDTechsCE!F10</f>
        <v>RSDSOL</v>
      </c>
      <c r="C13" s="145" t="str">
        <f>IF(RSDTechsCE!G10="","",RSDTechsCE!G10)</f>
        <v/>
      </c>
      <c r="D13" s="145" t="str">
        <f>IF(RSDTechsCE!H10="","",RSDTechsCE!H10)</f>
        <v>R_ES-DH-SpHeat, R_ES-DH-WatHeat</v>
      </c>
      <c r="E13" s="156">
        <v>2011</v>
      </c>
      <c r="F13" s="156">
        <f>RSDTechsCE!K10</f>
        <v>20</v>
      </c>
      <c r="G13" s="157">
        <v>1</v>
      </c>
      <c r="H13" s="156"/>
      <c r="I13" s="163">
        <v>1</v>
      </c>
      <c r="J13" s="163"/>
      <c r="K13" s="163">
        <f t="shared" si="1"/>
        <v>0.7</v>
      </c>
      <c r="L13" s="163"/>
      <c r="M13" s="163"/>
      <c r="N13" s="163"/>
      <c r="O13" s="157"/>
      <c r="Q13" s="145" t="s">
        <v>439</v>
      </c>
      <c r="R13" s="145" t="str">
        <f>RSDTechsCE!B10</f>
        <v>R_ES-SH-DH_GAS02-SOLspl</v>
      </c>
      <c r="S13" s="145" t="str">
        <f>RSDTechsCE!C10&amp;" ("&amp;RSDTechsCE!D10&amp;")"</f>
        <v>Backup for Gas boiler - Solar thermal_SH-WH  (DH)</v>
      </c>
      <c r="T13" s="145" t="s">
        <v>31</v>
      </c>
      <c r="U13" s="145" t="s">
        <v>440</v>
      </c>
      <c r="X13" s="158"/>
    </row>
    <row r="14" spans="1:24" x14ac:dyDescent="0.25">
      <c r="A14" s="145" t="str">
        <f t="shared" si="0"/>
        <v>R_ES-SH-DH_GAS02-BIOspl</v>
      </c>
      <c r="B14" s="145" t="str">
        <f>RSDTechsCE!F11</f>
        <v>RSDBIO</v>
      </c>
      <c r="C14" s="145" t="str">
        <f>IF(RSDTechsCE!G11="","",RSDTechsCE!G11)</f>
        <v/>
      </c>
      <c r="D14" s="145" t="str">
        <f>IF(RSDTechsCE!H11="","",RSDTechsCE!H11)</f>
        <v>R_ES-DH-SpHeat</v>
      </c>
      <c r="E14" s="156">
        <v>2011</v>
      </c>
      <c r="F14" s="156">
        <f>RSDTechsCE!K11</f>
        <v>20</v>
      </c>
      <c r="G14" s="157">
        <v>1</v>
      </c>
      <c r="H14" s="156"/>
      <c r="I14" s="163">
        <v>0.65</v>
      </c>
      <c r="J14" s="163"/>
      <c r="K14" s="163"/>
      <c r="L14" s="163"/>
      <c r="M14" s="163"/>
      <c r="N14" s="163"/>
      <c r="O14" s="157"/>
      <c r="Q14" s="145" t="s">
        <v>439</v>
      </c>
      <c r="R14" s="145" t="str">
        <f>RSDTechsCE!B11</f>
        <v>R_ES-SH-DH_GAS02-BIOspl</v>
      </c>
      <c r="S14" s="145" t="str">
        <f>RSDTechsCE!C11&amp;" ("&amp;RSDTechsCE!D11&amp;")"</f>
        <v>Backup for Gas boiler - Wood stove_SH (DH)</v>
      </c>
      <c r="T14" s="145" t="s">
        <v>31</v>
      </c>
      <c r="U14" s="145" t="s">
        <v>440</v>
      </c>
      <c r="X14" s="158"/>
    </row>
    <row r="15" spans="1:24" x14ac:dyDescent="0.25">
      <c r="A15" s="145" t="str">
        <f t="shared" si="0"/>
        <v>R_ES-SH-DH_BIO01</v>
      </c>
      <c r="B15" s="145" t="str">
        <f>RSDTechsCE!F12</f>
        <v>RSDBIO</v>
      </c>
      <c r="C15" s="145" t="str">
        <f>IF(RSDTechsCE!G12="","",RSDTechsCE!G12)</f>
        <v/>
      </c>
      <c r="D15" s="145" t="str">
        <f>IF(RSDTechsCE!H12="","",RSDTechsCE!H12)</f>
        <v>R_ES-DH-SpHeat, R_ES-DH-WatHeat</v>
      </c>
      <c r="E15" s="156">
        <v>2011</v>
      </c>
      <c r="F15" s="156">
        <f>RSDTechsCE!K12</f>
        <v>20</v>
      </c>
      <c r="G15" s="157">
        <v>1</v>
      </c>
      <c r="H15" s="156"/>
      <c r="I15" s="163">
        <v>0.67308496185599331</v>
      </c>
      <c r="J15" s="163"/>
      <c r="K15" s="163">
        <f t="shared" si="1"/>
        <v>0.47115947329919527</v>
      </c>
      <c r="L15" s="163"/>
      <c r="M15" s="163"/>
      <c r="N15" s="163"/>
      <c r="O15" s="157"/>
      <c r="Q15" s="145" t="s">
        <v>439</v>
      </c>
      <c r="R15" s="145" t="str">
        <f>RSDTechsCE!B12</f>
        <v>R_ES-SH-DH_BIO01</v>
      </c>
      <c r="S15" s="145" t="str">
        <f>RSDTechsCE!C12&amp;" ("&amp;RSDTechsCE!D12&amp;")"</f>
        <v>Biomass boiler_SH-WH (DH)</v>
      </c>
      <c r="T15" s="145" t="s">
        <v>31</v>
      </c>
      <c r="U15" s="145" t="s">
        <v>440</v>
      </c>
      <c r="X15" s="158"/>
    </row>
    <row r="16" spans="1:24" x14ac:dyDescent="0.25">
      <c r="A16" s="159" t="str">
        <f t="shared" si="0"/>
        <v>R_ES-SH-DH_ELC01</v>
      </c>
      <c r="B16" s="159" t="str">
        <f>RSDTechsCE!F13</f>
        <v>RSDELC</v>
      </c>
      <c r="C16" s="159" t="str">
        <f>IF(RSDTechsCE!G13="","",RSDTechsCE!G13)</f>
        <v/>
      </c>
      <c r="D16" s="159" t="str">
        <f>IF(RSDTechsCE!H13="","",RSDTechsCE!H13)</f>
        <v>R_ES-DH-SpHeat, R_ES-DH-WatHeat</v>
      </c>
      <c r="E16" s="160">
        <v>2011</v>
      </c>
      <c r="F16" s="160">
        <f>RSDTechsCE!K13</f>
        <v>15</v>
      </c>
      <c r="G16" s="161">
        <v>1</v>
      </c>
      <c r="H16" s="160"/>
      <c r="I16" s="296">
        <v>1</v>
      </c>
      <c r="J16" s="296"/>
      <c r="K16" s="296">
        <f t="shared" si="1"/>
        <v>0.7</v>
      </c>
      <c r="L16" s="296"/>
      <c r="M16" s="296"/>
      <c r="N16" s="296"/>
      <c r="O16" s="161"/>
      <c r="Q16" s="159" t="s">
        <v>439</v>
      </c>
      <c r="R16" s="159" t="str">
        <f>RSDTechsCE!B13</f>
        <v>R_ES-SH-DH_ELC01</v>
      </c>
      <c r="S16" s="159" t="str">
        <f>RSDTechsCE!C13&amp;" ("&amp;RSDTechsCE!D13&amp;")"</f>
        <v>Electric boiler_SH-WH (DH)</v>
      </c>
      <c r="T16" s="159" t="s">
        <v>31</v>
      </c>
      <c r="U16" s="159" t="s">
        <v>440</v>
      </c>
      <c r="V16" s="159"/>
      <c r="W16" s="159"/>
      <c r="X16" s="162"/>
    </row>
    <row r="17" spans="1:24" x14ac:dyDescent="0.25">
      <c r="A17" s="145" t="str">
        <f t="shared" si="0"/>
        <v>R_ES-SH-DH_ELC02</v>
      </c>
      <c r="B17" s="145" t="str">
        <f>RSDTechsCE!F14</f>
        <v>RSDELC</v>
      </c>
      <c r="C17" s="145" t="str">
        <f>IF(RSDTechsCE!G14="","",RSDTechsCE!G14)</f>
        <v>RSDAHT</v>
      </c>
      <c r="D17" s="145" t="str">
        <f>IF(RSDTechsCE!H14="","",RSDTechsCE!H14)</f>
        <v>R_ES-DH-SpHeat, R_ES-DH-SpCool</v>
      </c>
      <c r="E17" s="156">
        <v>2011</v>
      </c>
      <c r="F17" s="156">
        <f>RSDTechsCE!K14</f>
        <v>20</v>
      </c>
      <c r="G17" s="157">
        <v>1</v>
      </c>
      <c r="H17" s="156"/>
      <c r="I17" s="163"/>
      <c r="J17" s="163">
        <v>5</v>
      </c>
      <c r="K17" s="163"/>
      <c r="L17" s="163"/>
      <c r="M17" s="163"/>
      <c r="N17" s="163"/>
      <c r="O17" s="157"/>
      <c r="Q17" s="145" t="s">
        <v>439</v>
      </c>
      <c r="R17" s="145" t="str">
        <f>RSDTechsCE!B14</f>
        <v>R_ES-SH-DH_ELC02</v>
      </c>
      <c r="S17" s="145" t="str">
        <f>RSDTechsCE!C14&amp;" ("&amp;RSDTechsCE!D14&amp;")"</f>
        <v>Heat Pump Air-to-Air_SH (DH)</v>
      </c>
      <c r="T17" s="145" t="s">
        <v>31</v>
      </c>
      <c r="U17" s="145" t="s">
        <v>440</v>
      </c>
      <c r="X17" s="295"/>
    </row>
    <row r="18" spans="1:24" x14ac:dyDescent="0.25">
      <c r="A18" s="145" t="str">
        <f t="shared" si="0"/>
        <v>R_ES-SH-DH_ELC02-ELCspl</v>
      </c>
      <c r="B18" s="145" t="str">
        <f>RSDTechsCE!F15</f>
        <v>RSDELC</v>
      </c>
      <c r="C18" s="145" t="str">
        <f>IF(RSDTechsCE!G15="","",RSDTechsCE!G15)</f>
        <v/>
      </c>
      <c r="D18" s="145" t="str">
        <f>IF(RSDTechsCE!H15="","",RSDTechsCE!H15)</f>
        <v>R_ES-DH-SpHeat, R_ES-DH-WatHeat</v>
      </c>
      <c r="E18" s="156">
        <v>2011</v>
      </c>
      <c r="F18" s="156">
        <f>RSDTechsCE!K15</f>
        <v>15</v>
      </c>
      <c r="G18" s="157">
        <v>1</v>
      </c>
      <c r="H18" s="156"/>
      <c r="I18" s="163">
        <v>1</v>
      </c>
      <c r="J18" s="163"/>
      <c r="K18" s="163">
        <f t="shared" si="1"/>
        <v>0.7</v>
      </c>
      <c r="L18" s="163"/>
      <c r="M18" s="163"/>
      <c r="N18" s="163"/>
      <c r="O18" s="157"/>
      <c r="Q18" s="145" t="s">
        <v>439</v>
      </c>
      <c r="R18" s="145" t="str">
        <f>RSDTechsCE!B15</f>
        <v>R_ES-SH-DH_ELC02-ELCspl</v>
      </c>
      <c r="S18" s="145" t="str">
        <f>RSDTechsCE!C15&amp;" ("&amp;RSDTechsCE!D15&amp;")"</f>
        <v>Backup for Heat Pump Air-to-Air - Electric_SH-WH  (DH)</v>
      </c>
      <c r="T18" s="145" t="s">
        <v>31</v>
      </c>
      <c r="U18" s="145" t="s">
        <v>440</v>
      </c>
      <c r="X18" s="158"/>
    </row>
    <row r="19" spans="1:24" x14ac:dyDescent="0.25">
      <c r="A19" s="145" t="str">
        <f t="shared" si="0"/>
        <v>R_ES-SH-DH_ELC02-GASspl</v>
      </c>
      <c r="B19" s="145" t="str">
        <f>RSDTechsCE!F16</f>
        <v>RSDLPG, RSDBGS, RSDGAS</v>
      </c>
      <c r="C19" s="145" t="str">
        <f>IF(RSDTechsCE!G16="","",RSDTechsCE!G16)</f>
        <v/>
      </c>
      <c r="D19" s="145" t="str">
        <f>IF(RSDTechsCE!H16="","",RSDTechsCE!H16)</f>
        <v>R_ES-DH-SpHeat, R_ES-DH-WatHeat</v>
      </c>
      <c r="E19" s="156">
        <v>2011</v>
      </c>
      <c r="F19" s="156">
        <f>RSDTechsCE!K16</f>
        <v>22</v>
      </c>
      <c r="G19" s="157">
        <v>1</v>
      </c>
      <c r="H19" s="156"/>
      <c r="I19" s="163">
        <v>0.84679858006836706</v>
      </c>
      <c r="J19" s="163"/>
      <c r="K19" s="163">
        <f t="shared" si="1"/>
        <v>0.59275900604785692</v>
      </c>
      <c r="L19" s="163"/>
      <c r="M19" s="163"/>
      <c r="N19" s="163"/>
      <c r="O19" s="157"/>
      <c r="Q19" s="145" t="s">
        <v>439</v>
      </c>
      <c r="R19" s="145" t="str">
        <f>RSDTechsCE!B16</f>
        <v>R_ES-SH-DH_ELC02-GASspl</v>
      </c>
      <c r="S19" s="145" t="str">
        <f>RSDTechsCE!C16&amp;" ("&amp;RSDTechsCE!D16&amp;")"</f>
        <v>Backup for Heat Pump Air-to-Air - Natural Gas boiler_SH-WH  (DH)</v>
      </c>
      <c r="T19" s="145" t="s">
        <v>31</v>
      </c>
      <c r="U19" s="145" t="s">
        <v>440</v>
      </c>
      <c r="X19" s="158"/>
    </row>
    <row r="20" spans="1:24" x14ac:dyDescent="0.25">
      <c r="A20" s="145" t="str">
        <f t="shared" si="0"/>
        <v>R_ES-SH-DH_ELC02-BIOspl</v>
      </c>
      <c r="B20" s="145" t="str">
        <f>RSDTechsCE!F17</f>
        <v>RSDBIO</v>
      </c>
      <c r="C20" s="145" t="str">
        <f>IF(RSDTechsCE!G17="","",RSDTechsCE!G17)</f>
        <v/>
      </c>
      <c r="D20" s="145" t="str">
        <f>IF(RSDTechsCE!H17="","",RSDTechsCE!H17)</f>
        <v>R_ES-DH-SpHeat, R_ES-DH-WatHeat</v>
      </c>
      <c r="E20" s="156">
        <v>2011</v>
      </c>
      <c r="F20" s="156">
        <f>RSDTechsCE!K17</f>
        <v>20</v>
      </c>
      <c r="G20" s="157">
        <v>1</v>
      </c>
      <c r="H20" s="156"/>
      <c r="I20" s="163">
        <v>0.67308496185599331</v>
      </c>
      <c r="J20" s="163"/>
      <c r="K20" s="163">
        <f t="shared" si="1"/>
        <v>0.47115947329919527</v>
      </c>
      <c r="L20" s="163"/>
      <c r="M20" s="163"/>
      <c r="N20" s="163"/>
      <c r="O20" s="157"/>
      <c r="Q20" s="145" t="s">
        <v>439</v>
      </c>
      <c r="R20" s="145" t="str">
        <f>RSDTechsCE!B17</f>
        <v>R_ES-SH-DH_ELC02-BIOspl</v>
      </c>
      <c r="S20" s="145" t="str">
        <f>RSDTechsCE!C17&amp;" ("&amp;RSDTechsCE!D17&amp;")"</f>
        <v>Backup for Heat Pump Air-to-Air - Biomass boiler_SH-WH  (DH)</v>
      </c>
      <c r="T20" s="145" t="s">
        <v>31</v>
      </c>
      <c r="U20" s="145" t="s">
        <v>440</v>
      </c>
      <c r="X20" s="158"/>
    </row>
    <row r="21" spans="1:24" x14ac:dyDescent="0.25">
      <c r="A21" s="145" t="str">
        <f t="shared" si="0"/>
        <v>R_ES-SH-DH_ELC02-SOLspl</v>
      </c>
      <c r="B21" s="145" t="str">
        <f>RSDTechsCE!F18</f>
        <v>RSDSOL</v>
      </c>
      <c r="C21" s="145" t="str">
        <f>IF(RSDTechsCE!G18="","",RSDTechsCE!G18)</f>
        <v/>
      </c>
      <c r="D21" s="145" t="str">
        <f>IF(RSDTechsCE!H18="","",RSDTechsCE!H18)</f>
        <v>R_ES-DH-SpHeat, R_ES-DH-WatHeat</v>
      </c>
      <c r="E21" s="156">
        <v>2011</v>
      </c>
      <c r="F21" s="156">
        <f>RSDTechsCE!K18</f>
        <v>20</v>
      </c>
      <c r="G21" s="157">
        <v>1</v>
      </c>
      <c r="H21" s="156"/>
      <c r="I21" s="163">
        <v>1</v>
      </c>
      <c r="J21" s="163"/>
      <c r="K21" s="163">
        <f t="shared" si="1"/>
        <v>0.7</v>
      </c>
      <c r="L21" s="163"/>
      <c r="M21" s="163"/>
      <c r="N21" s="163"/>
      <c r="O21" s="157"/>
      <c r="Q21" s="145" t="s">
        <v>439</v>
      </c>
      <c r="R21" s="145" t="str">
        <f>RSDTechsCE!B18</f>
        <v>R_ES-SH-DH_ELC02-SOLspl</v>
      </c>
      <c r="S21" s="145" t="str">
        <f>RSDTechsCE!C18&amp;" ("&amp;RSDTechsCE!D18&amp;")"</f>
        <v>Backup for Heat Pump Air-to-Air - Solar thermal_SH-WH  (DH)</v>
      </c>
      <c r="T21" s="145" t="s">
        <v>31</v>
      </c>
      <c r="U21" s="145" t="s">
        <v>440</v>
      </c>
      <c r="X21" s="158"/>
    </row>
    <row r="22" spans="1:24" x14ac:dyDescent="0.25">
      <c r="A22" s="145" t="str">
        <f t="shared" si="0"/>
        <v>R_ES-SH-DH_ELC04</v>
      </c>
      <c r="B22" s="145" t="str">
        <f>RSDTechsCE!F19</f>
        <v>RSDELC</v>
      </c>
      <c r="C22" s="145" t="str">
        <f>IF(RSDTechsCE!G19="","",RSDTechsCE!G19)</f>
        <v>RSDAHT</v>
      </c>
      <c r="D22" s="145" t="str">
        <f>IF(RSDTechsCE!H19="","",RSDTechsCE!H19)</f>
        <v>R_ES-DH-SpHeat, R_ES-DH-WatHeat</v>
      </c>
      <c r="E22" s="156">
        <v>2011</v>
      </c>
      <c r="F22" s="156">
        <f>RSDTechsCE!K19</f>
        <v>20</v>
      </c>
      <c r="G22" s="157">
        <v>1</v>
      </c>
      <c r="H22" s="156"/>
      <c r="I22" s="163"/>
      <c r="J22" s="163"/>
      <c r="K22" s="163">
        <f>RSDTechsCE!U19-1</f>
        <v>2.7</v>
      </c>
      <c r="L22" s="163"/>
      <c r="M22" s="163"/>
      <c r="N22" s="163"/>
      <c r="O22" s="157"/>
      <c r="Q22" s="145" t="s">
        <v>439</v>
      </c>
      <c r="R22" s="145" t="str">
        <f>RSDTechsCE!B19</f>
        <v>R_ES-SH-DH_ELC04</v>
      </c>
      <c r="S22" s="145" t="str">
        <f>RSDTechsCE!C19&amp;" ("&amp;RSDTechsCE!D19&amp;")"</f>
        <v>Heat Pump Air-to-Water_SH-WH (DH)</v>
      </c>
      <c r="T22" s="145" t="s">
        <v>31</v>
      </c>
      <c r="U22" s="145" t="s">
        <v>440</v>
      </c>
      <c r="X22" s="158"/>
    </row>
    <row r="23" spans="1:24" x14ac:dyDescent="0.25">
      <c r="A23" s="145" t="str">
        <f t="shared" si="0"/>
        <v>R_ES-SH-DH_ELC05</v>
      </c>
      <c r="B23" s="145" t="str">
        <f>RSDTechsCE!F20</f>
        <v>RSDELC</v>
      </c>
      <c r="C23" s="145" t="str">
        <f>IF(RSDTechsCE!G20="","",RSDTechsCE!G20)</f>
        <v>RSDAHT</v>
      </c>
      <c r="D23" s="145" t="str">
        <f>IF(RSDTechsCE!H20="","",RSDTechsCE!H20)</f>
        <v>R_ES-DH-SpHeat, R_ES-DH-WatHeat, R_ES-DH-SpCool</v>
      </c>
      <c r="E23" s="156">
        <v>2011</v>
      </c>
      <c r="F23" s="156">
        <f>RSDTechsCE!K20</f>
        <v>20</v>
      </c>
      <c r="G23" s="157">
        <v>1</v>
      </c>
      <c r="H23" s="156"/>
      <c r="I23" s="163"/>
      <c r="J23" s="163">
        <v>5</v>
      </c>
      <c r="K23" s="163">
        <f>RSDTechsCE!U20-1</f>
        <v>2.7</v>
      </c>
      <c r="L23" s="163"/>
      <c r="M23" s="163"/>
      <c r="N23" s="163"/>
      <c r="O23" s="157"/>
      <c r="Q23" s="145" t="s">
        <v>439</v>
      </c>
      <c r="R23" s="145" t="str">
        <f>RSDTechsCE!B20</f>
        <v>R_ES-SH-DH_ELC05</v>
      </c>
      <c r="S23" s="145" t="str">
        <f>RSDTechsCE!C20&amp;" ("&amp;RSDTechsCE!D20&amp;")"</f>
        <v>Heat Pump Air-to-Water_SH-WH-SC (DH)</v>
      </c>
      <c r="T23" s="145" t="s">
        <v>31</v>
      </c>
      <c r="U23" s="145" t="s">
        <v>440</v>
      </c>
      <c r="X23" s="158"/>
    </row>
    <row r="24" spans="1:24" x14ac:dyDescent="0.25">
      <c r="A24" s="145" t="str">
        <f t="shared" si="0"/>
        <v>R_ES-SH-DH_ELC06</v>
      </c>
      <c r="B24" s="145" t="str">
        <f>RSDTechsCE!F21</f>
        <v>RSDELC</v>
      </c>
      <c r="C24" s="145" t="str">
        <f>IF(RSDTechsCE!G21="","",RSDTechsCE!G21)</f>
        <v>RSDGHT</v>
      </c>
      <c r="D24" s="145" t="str">
        <f>IF(RSDTechsCE!H21="","",RSDTechsCE!H21)</f>
        <v>R_ES-DH-SpHeat, R_ES-DH-WatHeat</v>
      </c>
      <c r="E24" s="156">
        <v>2011</v>
      </c>
      <c r="F24" s="156">
        <f>RSDTechsCE!K21</f>
        <v>20</v>
      </c>
      <c r="G24" s="157">
        <v>1</v>
      </c>
      <c r="H24" s="156"/>
      <c r="I24" s="163"/>
      <c r="J24" s="163"/>
      <c r="K24" s="163">
        <f>RSDTechsCE!U21-1</f>
        <v>3</v>
      </c>
      <c r="L24" s="163"/>
      <c r="M24" s="163"/>
      <c r="N24" s="163"/>
      <c r="O24" s="157"/>
      <c r="Q24" s="145" t="s">
        <v>439</v>
      </c>
      <c r="R24" s="145" t="str">
        <f>RSDTechsCE!B21</f>
        <v>R_ES-SH-DH_ELC06</v>
      </c>
      <c r="S24" s="145" t="str">
        <f>RSDTechsCE!C21&amp;" ("&amp;RSDTechsCE!D21&amp;")"</f>
        <v>Heat Pump Ground Source Horizontal_SH-WH (DH)</v>
      </c>
      <c r="T24" s="145" t="s">
        <v>31</v>
      </c>
      <c r="U24" s="145" t="s">
        <v>440</v>
      </c>
      <c r="X24" s="158"/>
    </row>
    <row r="25" spans="1:24" x14ac:dyDescent="0.25">
      <c r="A25" s="145" t="str">
        <f t="shared" si="0"/>
        <v>R_ES-SH-DH_ELC07</v>
      </c>
      <c r="B25" s="145" t="str">
        <f>RSDTechsCE!F22</f>
        <v>RSDELC</v>
      </c>
      <c r="C25" s="145" t="str">
        <f>IF(RSDTechsCE!G22="","",RSDTechsCE!G22)</f>
        <v>RSDGHT</v>
      </c>
      <c r="D25" s="145" t="str">
        <f>IF(RSDTechsCE!H22="","",RSDTechsCE!H22)</f>
        <v>R_ES-DH-SpHeat, R_ES-DH-WatHeat, R_ES-DH-SpCool</v>
      </c>
      <c r="E25" s="156">
        <v>2011</v>
      </c>
      <c r="F25" s="156">
        <f>RSDTechsCE!K22</f>
        <v>20</v>
      </c>
      <c r="G25" s="157">
        <v>1</v>
      </c>
      <c r="H25" s="156"/>
      <c r="I25" s="163"/>
      <c r="J25" s="163">
        <v>5</v>
      </c>
      <c r="K25" s="163">
        <f>RSDTechsCE!U22-1</f>
        <v>3</v>
      </c>
      <c r="L25" s="163"/>
      <c r="M25" s="163"/>
      <c r="N25" s="163"/>
      <c r="O25" s="157"/>
      <c r="Q25" s="145" t="s">
        <v>439</v>
      </c>
      <c r="R25" s="145" t="str">
        <f>RSDTechsCE!B22</f>
        <v>R_ES-SH-DH_ELC07</v>
      </c>
      <c r="S25" s="145" t="str">
        <f>RSDTechsCE!C22&amp;" ("&amp;RSDTechsCE!D22&amp;")"</f>
        <v>Heat Pump Ground Source Horizontal_SH-WH-SC (DH)</v>
      </c>
      <c r="T25" s="145" t="s">
        <v>31</v>
      </c>
      <c r="U25" s="145" t="s">
        <v>440</v>
      </c>
      <c r="X25" s="158"/>
    </row>
    <row r="26" spans="1:24" x14ac:dyDescent="0.25">
      <c r="A26" s="145" t="str">
        <f t="shared" si="0"/>
        <v>R_ES-SH-DH_ELC08</v>
      </c>
      <c r="B26" s="145" t="str">
        <f>RSDTechsCE!F23</f>
        <v>RSDELC</v>
      </c>
      <c r="C26" s="145" t="str">
        <f>IF(RSDTechsCE!G23="","",RSDTechsCE!G23)</f>
        <v>RSDGHT</v>
      </c>
      <c r="D26" s="145" t="str">
        <f>IF(RSDTechsCE!H23="","",RSDTechsCE!H23)</f>
        <v>R_ES-DH-SpHeat, R_ES-DH-WatHeat</v>
      </c>
      <c r="E26" s="156">
        <v>2011</v>
      </c>
      <c r="F26" s="156">
        <f>RSDTechsCE!K23</f>
        <v>20</v>
      </c>
      <c r="G26" s="157">
        <v>1</v>
      </c>
      <c r="H26" s="156"/>
      <c r="I26" s="163"/>
      <c r="J26" s="163"/>
      <c r="K26" s="163">
        <f>RSDTechsCE!U23-1</f>
        <v>3</v>
      </c>
      <c r="L26" s="163"/>
      <c r="M26" s="163"/>
      <c r="N26" s="163"/>
      <c r="O26" s="157"/>
      <c r="Q26" s="145" t="s">
        <v>439</v>
      </c>
      <c r="R26" s="145" t="str">
        <f>RSDTechsCE!B23</f>
        <v>R_ES-SH-DH_ELC08</v>
      </c>
      <c r="S26" s="145" t="str">
        <f>RSDTechsCE!C23&amp;" ("&amp;RSDTechsCE!D23&amp;")"</f>
        <v>Heat Pump Ground Source Vertical_SH-WH (DH)</v>
      </c>
      <c r="T26" s="145" t="s">
        <v>31</v>
      </c>
      <c r="U26" s="145" t="s">
        <v>440</v>
      </c>
      <c r="X26" s="158"/>
    </row>
    <row r="27" spans="1:24" x14ac:dyDescent="0.25">
      <c r="A27" s="145" t="str">
        <f t="shared" si="0"/>
        <v>R_ES-SH-DH_ELC09</v>
      </c>
      <c r="B27" s="145" t="str">
        <f>RSDTechsCE!F24</f>
        <v>RSDELC</v>
      </c>
      <c r="C27" s="145" t="str">
        <f>IF(RSDTechsCE!G24="","",RSDTechsCE!G24)</f>
        <v>RSDGHT</v>
      </c>
      <c r="D27" s="145" t="str">
        <f>IF(RSDTechsCE!H24="","",RSDTechsCE!H24)</f>
        <v>R_ES-DH-SpHeat, R_ES-DH-WatHeat, R_ES-DH-SpCool</v>
      </c>
      <c r="E27" s="156">
        <v>2011</v>
      </c>
      <c r="F27" s="156">
        <f>RSDTechsCE!K24</f>
        <v>20</v>
      </c>
      <c r="G27" s="157">
        <v>1</v>
      </c>
      <c r="H27" s="156"/>
      <c r="I27" s="163"/>
      <c r="J27" s="163">
        <v>5</v>
      </c>
      <c r="K27" s="163">
        <f>RSDTechsCE!U24-1</f>
        <v>3</v>
      </c>
      <c r="L27" s="163"/>
      <c r="M27" s="163"/>
      <c r="N27" s="163"/>
      <c r="O27" s="157"/>
      <c r="Q27" s="145" t="s">
        <v>439</v>
      </c>
      <c r="R27" s="145" t="str">
        <f>RSDTechsCE!B24</f>
        <v>R_ES-SH-DH_ELC09</v>
      </c>
      <c r="S27" s="145" t="str">
        <f>RSDTechsCE!C24&amp;" ("&amp;RSDTechsCE!D24&amp;")"</f>
        <v>Heat Pump Ground Source Vertical_SH-WH-SC (DH)</v>
      </c>
      <c r="T27" s="145" t="s">
        <v>31</v>
      </c>
      <c r="U27" s="145" t="s">
        <v>440</v>
      </c>
      <c r="X27" s="158"/>
    </row>
    <row r="28" spans="1:24" x14ac:dyDescent="0.25">
      <c r="A28" s="145" t="str">
        <f t="shared" si="0"/>
        <v>R_ES-SH-DH_ELC10</v>
      </c>
      <c r="B28" s="145" t="str">
        <f>RSDTechsCE!F25</f>
        <v>RSDELC</v>
      </c>
      <c r="C28" s="145" t="str">
        <f>IF(RSDTechsCE!G25="","",RSDTechsCE!G25)</f>
        <v>RSDGHT</v>
      </c>
      <c r="D28" s="145" t="str">
        <f>IF(RSDTechsCE!H25="","",RSDTechsCE!H25)</f>
        <v>R_ES-DH-SpHeat, R_ES-DH-WatHeat</v>
      </c>
      <c r="E28" s="156">
        <v>2011</v>
      </c>
      <c r="F28" s="156">
        <f>RSDTechsCE!K25</f>
        <v>25</v>
      </c>
      <c r="G28" s="157">
        <v>1</v>
      </c>
      <c r="H28" s="156"/>
      <c r="I28" s="163"/>
      <c r="J28" s="163"/>
      <c r="K28" s="163">
        <f>RSDTechsCE!U25-1</f>
        <v>3.9279999999999999</v>
      </c>
      <c r="L28" s="163"/>
      <c r="M28" s="163"/>
      <c r="N28" s="163"/>
      <c r="O28" s="157"/>
      <c r="Q28" s="145" t="s">
        <v>439</v>
      </c>
      <c r="R28" s="145" t="str">
        <f>RSDTechsCE!B25</f>
        <v>R_ES-SH-DH_ELC10</v>
      </c>
      <c r="S28" s="145" t="str">
        <f>RSDTechsCE!C25&amp;" ("&amp;RSDTechsCE!D25&amp;")"</f>
        <v>Heat Pump Groundwater_SH-WH (DH)</v>
      </c>
      <c r="T28" s="145" t="s">
        <v>31</v>
      </c>
      <c r="U28" s="145" t="s">
        <v>440</v>
      </c>
      <c r="X28" s="158"/>
    </row>
    <row r="29" spans="1:24" x14ac:dyDescent="0.25">
      <c r="A29" s="159" t="str">
        <f t="shared" si="0"/>
        <v>R_ES-SH-DH_ELC11</v>
      </c>
      <c r="B29" s="159" t="str">
        <f>RSDTechsCE!F26</f>
        <v>RSDELC</v>
      </c>
      <c r="C29" s="159" t="str">
        <f>IF(RSDTechsCE!G26="","",RSDTechsCE!G26)</f>
        <v>RSDGHT</v>
      </c>
      <c r="D29" s="159" t="str">
        <f>IF(RSDTechsCE!H26="","",RSDTechsCE!H26)</f>
        <v>R_ES-DH-SpHeat, R_ES-DH-WatHeat, R_ES-DH-SpCool</v>
      </c>
      <c r="E29" s="160">
        <v>2011</v>
      </c>
      <c r="F29" s="160">
        <f>RSDTechsCE!K26</f>
        <v>25</v>
      </c>
      <c r="G29" s="161">
        <v>1</v>
      </c>
      <c r="H29" s="160"/>
      <c r="I29" s="296"/>
      <c r="J29" s="296">
        <v>5</v>
      </c>
      <c r="K29" s="296">
        <f>RSDTechsCE!U26-1</f>
        <v>3.9279999999999999</v>
      </c>
      <c r="L29" s="296"/>
      <c r="M29" s="296"/>
      <c r="N29" s="296"/>
      <c r="O29" s="161"/>
      <c r="Q29" s="159" t="s">
        <v>439</v>
      </c>
      <c r="R29" s="159" t="str">
        <f>RSDTechsCE!B26</f>
        <v>R_ES-SH-DH_ELC11</v>
      </c>
      <c r="S29" s="159" t="str">
        <f>RSDTechsCE!C26&amp;" ("&amp;RSDTechsCE!D26&amp;")"</f>
        <v>Heat Pump Groundwater_SH-WH-SC (DH)</v>
      </c>
      <c r="T29" s="159" t="s">
        <v>31</v>
      </c>
      <c r="U29" s="159" t="s">
        <v>440</v>
      </c>
      <c r="V29" s="159"/>
      <c r="W29" s="159"/>
      <c r="X29" s="162"/>
    </row>
    <row r="30" spans="1:24" x14ac:dyDescent="0.25">
      <c r="A30" s="145" t="str">
        <f t="shared" si="0"/>
        <v>R_ES-SH-DH_GAS03</v>
      </c>
      <c r="B30" s="145" t="str">
        <f>RSDTechsCE!F27</f>
        <v>RSDGAS, RSDLPG, RSDBGS</v>
      </c>
      <c r="C30" s="145" t="str">
        <f>IF(RSDTechsCE!G27="","",RSDTechsCE!G27)</f>
        <v>RSDAHT</v>
      </c>
      <c r="D30" s="145" t="str">
        <f>IF(RSDTechsCE!H27="","",RSDTechsCE!H27)</f>
        <v>R_ES-DH-SpHeat, R_ES-DH-WatHeat</v>
      </c>
      <c r="E30" s="156">
        <v>2011</v>
      </c>
      <c r="F30" s="156">
        <f>RSDTechsCE!K27</f>
        <v>22</v>
      </c>
      <c r="G30" s="157">
        <v>1</v>
      </c>
      <c r="H30" s="156"/>
      <c r="I30" s="163"/>
      <c r="J30" s="163"/>
      <c r="K30" s="163">
        <f>RSDTechsCE!U27</f>
        <v>1.7</v>
      </c>
      <c r="L30" s="163"/>
      <c r="M30" s="163"/>
      <c r="N30" s="163"/>
      <c r="O30" s="157"/>
      <c r="Q30" s="145" t="s">
        <v>439</v>
      </c>
      <c r="R30" s="145" t="str">
        <f>RSDTechsCE!B27</f>
        <v>R_ES-SH-DH_GAS03</v>
      </c>
      <c r="S30" s="145" t="str">
        <f>RSDTechsCE!C27&amp;" ("&amp;RSDTechsCE!D27&amp;")"</f>
        <v>Gas/LPG-driven Heat Pump absorption Air-to-Water_SH-WH (DH)</v>
      </c>
      <c r="T30" s="145" t="s">
        <v>31</v>
      </c>
      <c r="U30" s="145" t="s">
        <v>440</v>
      </c>
      <c r="X30" s="158"/>
    </row>
    <row r="31" spans="1:24" x14ac:dyDescent="0.25">
      <c r="A31" s="145" t="str">
        <f t="shared" si="0"/>
        <v>R_ES-SH-DH_GAS04</v>
      </c>
      <c r="B31" s="145" t="str">
        <f>RSDTechsCE!F28</f>
        <v>RSDGAS, RSDLPG, RSDBGS</v>
      </c>
      <c r="C31" s="145" t="str">
        <f>IF(RSDTechsCE!G28="","",RSDTechsCE!G28)</f>
        <v>RSDAHT</v>
      </c>
      <c r="D31" s="145" t="str">
        <f>IF(RSDTechsCE!H28="","",RSDTechsCE!H28)</f>
        <v>R_ES-DH-SpHeat, R_ES-DH-WatHeat, R_ES-DH-SpCool</v>
      </c>
      <c r="E31" s="156">
        <v>2011</v>
      </c>
      <c r="F31" s="156">
        <f>RSDTechsCE!K28</f>
        <v>22</v>
      </c>
      <c r="G31" s="157">
        <v>1</v>
      </c>
      <c r="H31" s="156"/>
      <c r="I31" s="163"/>
      <c r="J31" s="163">
        <v>3</v>
      </c>
      <c r="K31" s="163">
        <f>RSDTechsCE!U28</f>
        <v>1.7</v>
      </c>
      <c r="L31" s="163"/>
      <c r="M31" s="163"/>
      <c r="N31" s="163"/>
      <c r="O31" s="157"/>
      <c r="Q31" s="145" t="s">
        <v>439</v>
      </c>
      <c r="R31" s="145" t="str">
        <f>RSDTechsCE!B28</f>
        <v>R_ES-SH-DH_GAS04</v>
      </c>
      <c r="S31" s="145" t="str">
        <f>RSDTechsCE!C28&amp;" ("&amp;RSDTechsCE!D28&amp;")"</f>
        <v>Gas/LPG-driven Heat Pump absorption Air-to-Water_SH-WH-SC (DH)</v>
      </c>
      <c r="T31" s="145" t="s">
        <v>31</v>
      </c>
      <c r="U31" s="145" t="s">
        <v>440</v>
      </c>
      <c r="X31" s="158"/>
    </row>
    <row r="32" spans="1:24" x14ac:dyDescent="0.25">
      <c r="A32" s="145" t="str">
        <f t="shared" si="0"/>
        <v>R_ES-SH-DH_GAS05</v>
      </c>
      <c r="B32" s="145" t="str">
        <f>RSDTechsCE!F29</f>
        <v>RSDGAS, RSDLPG, RSDBGS</v>
      </c>
      <c r="C32" s="145" t="str">
        <f>IF(RSDTechsCE!G29="","",RSDTechsCE!G29)</f>
        <v>RSDAHT</v>
      </c>
      <c r="D32" s="145" t="str">
        <f>IF(RSDTechsCE!H29="","",RSDTechsCE!H29)</f>
        <v>R_ES-DH-SpHeat, R_ES-DH-WatHeat</v>
      </c>
      <c r="E32" s="156">
        <v>2011</v>
      </c>
      <c r="F32" s="156">
        <f>RSDTechsCE!K29</f>
        <v>20</v>
      </c>
      <c r="G32" s="157">
        <v>1</v>
      </c>
      <c r="H32" s="156"/>
      <c r="I32" s="163"/>
      <c r="J32" s="163"/>
      <c r="K32" s="163">
        <f>RSDTechsCE!U29</f>
        <v>1.1200000000000001</v>
      </c>
      <c r="L32" s="163"/>
      <c r="M32" s="163"/>
      <c r="N32" s="163"/>
      <c r="O32" s="157"/>
      <c r="Q32" s="145" t="s">
        <v>439</v>
      </c>
      <c r="R32" s="145" t="str">
        <f>RSDTechsCE!B29</f>
        <v>R_ES-SH-DH_GAS05</v>
      </c>
      <c r="S32" s="145" t="str">
        <f>RSDTechsCE!C29&amp;" ("&amp;RSDTechsCE!D29&amp;")"</f>
        <v>Gas/LPG-driven Heat Pump absorption brine to water + Solar th collectors_SH-WH (DH)</v>
      </c>
      <c r="T32" s="145" t="s">
        <v>31</v>
      </c>
      <c r="U32" s="145" t="s">
        <v>440</v>
      </c>
      <c r="X32" s="158"/>
    </row>
    <row r="33" spans="1:24" x14ac:dyDescent="0.25">
      <c r="A33" s="145" t="str">
        <f t="shared" si="0"/>
        <v>R_ES-SH-DH_GAS06</v>
      </c>
      <c r="B33" s="145" t="str">
        <f>RSDTechsCE!F30</f>
        <v>RSDGAS, RSDLPG, RSDBGS</v>
      </c>
      <c r="C33" s="145" t="str">
        <f>IF(RSDTechsCE!G30="","",RSDTechsCE!G30)</f>
        <v>RSDAHT</v>
      </c>
      <c r="D33" s="145" t="str">
        <f>IF(RSDTechsCE!H30="","",RSDTechsCE!H30)</f>
        <v>R_ES-DH-SpHeat, R_ES-DH-WatHeat, R_ES-DH-SpCool</v>
      </c>
      <c r="E33" s="156">
        <v>2011</v>
      </c>
      <c r="F33" s="156">
        <f>RSDTechsCE!K30</f>
        <v>20</v>
      </c>
      <c r="G33" s="157">
        <v>1</v>
      </c>
      <c r="H33" s="156"/>
      <c r="I33" s="163"/>
      <c r="J33" s="163">
        <v>3</v>
      </c>
      <c r="K33" s="163">
        <f>RSDTechsCE!U30</f>
        <v>1.1200000000000001</v>
      </c>
      <c r="L33" s="163"/>
      <c r="M33" s="163"/>
      <c r="N33" s="163"/>
      <c r="O33" s="157"/>
      <c r="Q33" s="145" t="s">
        <v>439</v>
      </c>
      <c r="R33" s="145" t="str">
        <f>RSDTechsCE!B30</f>
        <v>R_ES-SH-DH_GAS06</v>
      </c>
      <c r="S33" s="145" t="str">
        <f>RSDTechsCE!C30&amp;" ("&amp;RSDTechsCE!D30&amp;")"</f>
        <v>Gas/LPG-driven Heat Pump absorption brine to water + Solar th collectors_SH-WH-SC (DH)</v>
      </c>
      <c r="T33" s="145" t="s">
        <v>31</v>
      </c>
      <c r="U33" s="145" t="s">
        <v>440</v>
      </c>
      <c r="X33" s="158"/>
    </row>
    <row r="34" spans="1:24" x14ac:dyDescent="0.25">
      <c r="A34" s="145" t="str">
        <f t="shared" si="0"/>
        <v>R_ES-SH-DH_GAS07</v>
      </c>
      <c r="B34" s="145" t="str">
        <f>RSDTechsCE!F31</f>
        <v>RSDGAS, RSDLPG, RSDBGS</v>
      </c>
      <c r="C34" s="145" t="str">
        <f>IF(RSDTechsCE!G31="","",RSDTechsCE!G31)</f>
        <v>RSDAHT</v>
      </c>
      <c r="D34" s="145" t="str">
        <f>IF(RSDTechsCE!H31="","",RSDTechsCE!H31)</f>
        <v>R_ES-DH-SpHeat, R_ES-DH-WatHeat</v>
      </c>
      <c r="E34" s="156">
        <v>2011</v>
      </c>
      <c r="F34" s="156">
        <f>RSDTechsCE!K31</f>
        <v>20</v>
      </c>
      <c r="G34" s="157">
        <v>1</v>
      </c>
      <c r="H34" s="156"/>
      <c r="I34" s="163"/>
      <c r="J34" s="163"/>
      <c r="K34" s="163">
        <f>RSDTechsCE!U31</f>
        <v>1.55</v>
      </c>
      <c r="L34" s="163"/>
      <c r="M34" s="163"/>
      <c r="N34" s="163"/>
      <c r="O34" s="157"/>
      <c r="Q34" s="145" t="s">
        <v>439</v>
      </c>
      <c r="R34" s="145" t="str">
        <f>RSDTechsCE!B31</f>
        <v>R_ES-SH-DH_GAS07</v>
      </c>
      <c r="S34" s="145" t="str">
        <f>RSDTechsCE!C31&amp;" ("&amp;RSDTechsCE!D31&amp;")"</f>
        <v>Gas/LPG-driven Heat Pump engine Air-to-Water_SH-WH (DH)</v>
      </c>
      <c r="T34" s="145" t="s">
        <v>31</v>
      </c>
      <c r="U34" s="145" t="s">
        <v>440</v>
      </c>
      <c r="X34" s="158"/>
    </row>
    <row r="35" spans="1:24" x14ac:dyDescent="0.25">
      <c r="A35" s="159" t="str">
        <f t="shared" si="0"/>
        <v>R_ES-SH-DH_GAS08</v>
      </c>
      <c r="B35" s="159" t="str">
        <f>RSDTechsCE!F32</f>
        <v>RSDGAS, RSDLPG, RSDBGS</v>
      </c>
      <c r="C35" s="159" t="str">
        <f>IF(RSDTechsCE!G32="","",RSDTechsCE!G32)</f>
        <v>RSDAHT</v>
      </c>
      <c r="D35" s="159" t="str">
        <f>IF(RSDTechsCE!H32="","",RSDTechsCE!H32)</f>
        <v>R_ES-DH-SpHeat, R_ES-DH-WatHeat, R_ES-DH-SpCool</v>
      </c>
      <c r="E35" s="160">
        <v>2011</v>
      </c>
      <c r="F35" s="160">
        <f>RSDTechsCE!K32</f>
        <v>20</v>
      </c>
      <c r="G35" s="161">
        <v>1</v>
      </c>
      <c r="H35" s="160"/>
      <c r="I35" s="296"/>
      <c r="J35" s="296">
        <v>3</v>
      </c>
      <c r="K35" s="296">
        <f>RSDTechsCE!U32</f>
        <v>1.55</v>
      </c>
      <c r="L35" s="296"/>
      <c r="M35" s="296"/>
      <c r="N35" s="296"/>
      <c r="O35" s="161"/>
      <c r="Q35" s="159" t="s">
        <v>439</v>
      </c>
      <c r="R35" s="159" t="str">
        <f>RSDTechsCE!B32</f>
        <v>R_ES-SH-DH_GAS08</v>
      </c>
      <c r="S35" s="159" t="str">
        <f>RSDTechsCE!C32&amp;" ("&amp;RSDTechsCE!D32&amp;")"</f>
        <v>Gas/LPG-driven Heat Pump engine Air-to-Water_SH-WH-SC (DH)</v>
      </c>
      <c r="T35" s="159" t="s">
        <v>31</v>
      </c>
      <c r="U35" s="159" t="s">
        <v>440</v>
      </c>
      <c r="V35" s="159"/>
      <c r="W35" s="159"/>
      <c r="X35" s="162"/>
    </row>
    <row r="36" spans="1:24" x14ac:dyDescent="0.25">
      <c r="A36" s="145" t="str">
        <f t="shared" si="0"/>
        <v>R_ES-CHP-DH_GAS01</v>
      </c>
      <c r="B36" s="145" t="str">
        <f>RSDTechsCE!F33</f>
        <v>RSDGAS, RSDLPG, RSDBGS</v>
      </c>
      <c r="C36" s="145" t="str">
        <f>IF(RSDTechsCE!G33="","",RSDTechsCE!G33)</f>
        <v/>
      </c>
      <c r="D36" s="145" t="str">
        <f>IF(RSDTechsCE!H33="","",RSDTechsCE!H33)</f>
        <v>RSDELC, R_ES-DH-SpHeat,R_ES-DH-WatHeat</v>
      </c>
      <c r="E36" s="156">
        <v>2011</v>
      </c>
      <c r="F36" s="156">
        <f>RSDTechsCE!K33</f>
        <v>10</v>
      </c>
      <c r="G36" s="157">
        <v>1</v>
      </c>
      <c r="H36" s="156">
        <v>0.26</v>
      </c>
      <c r="J36" s="156"/>
      <c r="K36" s="163"/>
      <c r="L36" s="163">
        <v>2.4615384615384617</v>
      </c>
      <c r="M36" s="163">
        <v>2.4615384615384617</v>
      </c>
      <c r="N36" s="163">
        <v>2.4615384615384617</v>
      </c>
      <c r="O36" s="157"/>
      <c r="Q36" s="145" t="s">
        <v>388</v>
      </c>
      <c r="R36" s="145" t="str">
        <f>RSDTechsCE!B33</f>
        <v>R_ES-CHP-DH_GAS01</v>
      </c>
      <c r="S36" s="145" t="str">
        <f>RSDTechsCE!C33&amp;" ("&amp;RSDTechsCE!D33&amp;")"</f>
        <v>CHP engines – Natural Gas micro turbine  (DH)</v>
      </c>
      <c r="T36" s="145" t="s">
        <v>31</v>
      </c>
      <c r="U36" s="145" t="s">
        <v>440</v>
      </c>
      <c r="X36" s="158"/>
    </row>
    <row r="37" spans="1:24" x14ac:dyDescent="0.25">
      <c r="A37" s="145" t="str">
        <f t="shared" si="0"/>
        <v>R_ES-CHP-DH_OIL01</v>
      </c>
      <c r="B37" s="145" t="str">
        <f>RSDTechsCE!F34</f>
        <v>RSDOIL, RSDBDL</v>
      </c>
      <c r="C37" s="145" t="str">
        <f>IF(RSDTechsCE!G34="","",RSDTechsCE!G34)</f>
        <v/>
      </c>
      <c r="D37" s="145" t="str">
        <f>IF(RSDTechsCE!H34="","",RSDTechsCE!H34)</f>
        <v>RSDELC, R_ES-DH-SpHeat,R_ES-DH-WatHeat</v>
      </c>
      <c r="E37" s="156">
        <v>2011</v>
      </c>
      <c r="F37" s="156">
        <f>RSDTechsCE!K34</f>
        <v>10</v>
      </c>
      <c r="G37" s="157">
        <v>1</v>
      </c>
      <c r="H37" s="156">
        <v>0.26</v>
      </c>
      <c r="J37" s="156"/>
      <c r="K37" s="163"/>
      <c r="L37" s="163">
        <v>2.4615384615384617</v>
      </c>
      <c r="M37" s="163">
        <v>2.4615384615384617</v>
      </c>
      <c r="N37" s="163">
        <v>2.4615384615384617</v>
      </c>
      <c r="O37" s="157"/>
      <c r="Q37" s="145" t="s">
        <v>388</v>
      </c>
      <c r="R37" s="145" t="str">
        <f>RSDTechsCE!B34</f>
        <v>R_ES-CHP-DH_OIL01</v>
      </c>
      <c r="S37" s="145" t="str">
        <f>RSDTechsCE!C34&amp;" ("&amp;RSDTechsCE!D34&amp;")"</f>
        <v>CHP engines – Diesel micro turbine (DH)</v>
      </c>
      <c r="T37" s="145" t="s">
        <v>31</v>
      </c>
      <c r="U37" s="145" t="s">
        <v>440</v>
      </c>
      <c r="X37" s="158"/>
    </row>
    <row r="38" spans="1:24" x14ac:dyDescent="0.25">
      <c r="A38" s="145" t="str">
        <f t="shared" si="0"/>
        <v>R_ES-CHP-DH_GAS02</v>
      </c>
      <c r="B38" s="145" t="str">
        <f>RSDTechsCE!F35</f>
        <v>RSDGAS, RSDLPG, RSDBGS</v>
      </c>
      <c r="C38" s="145" t="str">
        <f>IF(RSDTechsCE!G35="","",RSDTechsCE!G35)</f>
        <v/>
      </c>
      <c r="D38" s="145" t="str">
        <f>IF(RSDTechsCE!H35="","",RSDTechsCE!H35)</f>
        <v>RSDELC, R_ES-DH-SpHeat,R_ES-DH-WatHeat</v>
      </c>
      <c r="E38" s="156">
        <v>2011</v>
      </c>
      <c r="F38" s="156">
        <f>RSDTechsCE!K35</f>
        <v>10</v>
      </c>
      <c r="G38" s="157">
        <v>1</v>
      </c>
      <c r="H38" s="156">
        <v>0.2</v>
      </c>
      <c r="J38" s="156"/>
      <c r="K38" s="163"/>
      <c r="L38" s="163">
        <v>2.25</v>
      </c>
      <c r="M38" s="163">
        <v>2.1818181818181817</v>
      </c>
      <c r="N38" s="163">
        <v>1.9</v>
      </c>
      <c r="O38" s="157"/>
      <c r="Q38" s="145" t="s">
        <v>388</v>
      </c>
      <c r="R38" s="145" t="str">
        <f>RSDTechsCE!B35</f>
        <v>R_ES-CHP-DH_GAS02</v>
      </c>
      <c r="S38" s="145" t="str">
        <f>RSDTechsCE!C35&amp;" ("&amp;RSDTechsCE!D35&amp;")"</f>
        <v>CHP engines – Natural Gas internal combustion engine (DH)</v>
      </c>
      <c r="T38" s="145" t="s">
        <v>31</v>
      </c>
      <c r="U38" s="145" t="s">
        <v>440</v>
      </c>
      <c r="X38" s="158"/>
    </row>
    <row r="39" spans="1:24" x14ac:dyDescent="0.25">
      <c r="A39" s="145" t="str">
        <f t="shared" si="0"/>
        <v>R_ES-CHP-DH_OIL02</v>
      </c>
      <c r="B39" s="145" t="str">
        <f>RSDTechsCE!F36</f>
        <v>RSDOIL, RSDBDL</v>
      </c>
      <c r="C39" s="145" t="str">
        <f>IF(RSDTechsCE!G36="","",RSDTechsCE!G36)</f>
        <v/>
      </c>
      <c r="D39" s="145" t="str">
        <f>IF(RSDTechsCE!H36="","",RSDTechsCE!H36)</f>
        <v>RSDELC, R_ES-DH-SpHeat,R_ES-DH-WatHeat</v>
      </c>
      <c r="E39" s="156">
        <v>2011</v>
      </c>
      <c r="F39" s="156">
        <f>RSDTechsCE!K36</f>
        <v>10</v>
      </c>
      <c r="G39" s="157">
        <v>1</v>
      </c>
      <c r="H39" s="156">
        <v>0.2</v>
      </c>
      <c r="J39" s="156"/>
      <c r="K39" s="163"/>
      <c r="L39" s="163">
        <v>2.25</v>
      </c>
      <c r="M39" s="163">
        <v>2.1818181818181817</v>
      </c>
      <c r="N39" s="163">
        <v>1.9</v>
      </c>
      <c r="O39" s="157"/>
      <c r="Q39" s="145" t="s">
        <v>388</v>
      </c>
      <c r="R39" s="145" t="str">
        <f>RSDTechsCE!B36</f>
        <v>R_ES-CHP-DH_OIL02</v>
      </c>
      <c r="S39" s="145" t="str">
        <f>RSDTechsCE!C36&amp;" ("&amp;RSDTechsCE!D36&amp;")"</f>
        <v>CHP engines – Diesel internal combustion engine  (DH)</v>
      </c>
      <c r="T39" s="145" t="s">
        <v>31</v>
      </c>
      <c r="U39" s="145" t="s">
        <v>440</v>
      </c>
      <c r="X39" s="158"/>
    </row>
    <row r="40" spans="1:24" x14ac:dyDescent="0.25">
      <c r="A40" s="145" t="str">
        <f t="shared" si="0"/>
        <v>R_ES-CHP-DH_GAS03</v>
      </c>
      <c r="B40" s="145" t="str">
        <f>RSDTechsCE!F37</f>
        <v>RSDGAS, RSDLPG, RSDBGS</v>
      </c>
      <c r="C40" s="145" t="str">
        <f>IF(RSDTechsCE!G37="","",RSDTechsCE!G37)</f>
        <v/>
      </c>
      <c r="D40" s="145" t="str">
        <f>IF(RSDTechsCE!H37="","",RSDTechsCE!H37)</f>
        <v>RSDELC, R_ES-DH-SpHeat,R_ES-DH-WatHeat</v>
      </c>
      <c r="E40" s="156">
        <v>2011</v>
      </c>
      <c r="F40" s="156">
        <f>RSDTechsCE!K37</f>
        <v>10</v>
      </c>
      <c r="G40" s="157">
        <v>1</v>
      </c>
      <c r="H40" s="156">
        <v>0.12</v>
      </c>
      <c r="J40" s="156"/>
      <c r="K40" s="163"/>
      <c r="L40" s="163">
        <v>5.4583333333333339</v>
      </c>
      <c r="M40" s="163">
        <v>4.7142857142857144</v>
      </c>
      <c r="N40" s="163">
        <v>4.1562499999999991</v>
      </c>
      <c r="O40" s="157"/>
      <c r="Q40" s="145" t="s">
        <v>388</v>
      </c>
      <c r="R40" s="145" t="str">
        <f>RSDTechsCE!B37</f>
        <v>R_ES-CHP-DH_GAS03</v>
      </c>
      <c r="S40" s="145" t="str">
        <f>RSDTechsCE!C37&amp;" ("&amp;RSDTechsCE!D37&amp;")"</f>
        <v>CHP engines – Stirling engine (DH)</v>
      </c>
      <c r="T40" s="145" t="s">
        <v>31</v>
      </c>
      <c r="U40" s="145" t="s">
        <v>440</v>
      </c>
      <c r="X40" s="158"/>
    </row>
    <row r="41" spans="1:24" x14ac:dyDescent="0.25">
      <c r="A41" s="145" t="str">
        <f t="shared" si="0"/>
        <v>R_ES-CHP-DH_GAS04</v>
      </c>
      <c r="B41" s="145" t="str">
        <f>RSDTechsCE!F38</f>
        <v>RSDGAS</v>
      </c>
      <c r="C41" s="145" t="str">
        <f>IF(RSDTechsCE!G38="","",RSDTechsCE!G38)</f>
        <v/>
      </c>
      <c r="D41" s="145" t="str">
        <f>IF(RSDTechsCE!H38="","",RSDTechsCE!H38)</f>
        <v>RSDELC, R_ES-DH-SpHeat,R_ES-DH-WatHeat</v>
      </c>
      <c r="E41" s="156">
        <v>2011</v>
      </c>
      <c r="F41" s="156">
        <f>RSDTechsCE!K38</f>
        <v>10</v>
      </c>
      <c r="G41" s="157">
        <v>1</v>
      </c>
      <c r="H41" s="156">
        <v>0.375</v>
      </c>
      <c r="J41" s="156"/>
      <c r="K41" s="163"/>
      <c r="L41" s="163">
        <v>0.46666666666666679</v>
      </c>
      <c r="M41" s="163">
        <v>0.16666666666666669</v>
      </c>
      <c r="N41" s="163">
        <v>0.10526315789473695</v>
      </c>
      <c r="O41" s="157"/>
      <c r="Q41" s="145" t="s">
        <v>388</v>
      </c>
      <c r="R41" s="145" t="str">
        <f>RSDTechsCE!B38</f>
        <v>R_ES-CHP-DH_GAS04</v>
      </c>
      <c r="S41" s="145" t="str">
        <f>RSDTechsCE!C38&amp;" ("&amp;RSDTechsCE!D38&amp;")"</f>
        <v>CHP fuel cells – Natural Gas fuel cell (DH)</v>
      </c>
      <c r="T41" s="145" t="s">
        <v>31</v>
      </c>
      <c r="U41" s="145" t="s">
        <v>440</v>
      </c>
      <c r="X41" s="158"/>
    </row>
    <row r="42" spans="1:24" x14ac:dyDescent="0.25">
      <c r="A42" s="145" t="str">
        <f t="shared" si="0"/>
        <v>R_ES-CHP-DH_HH201</v>
      </c>
      <c r="B42" s="145" t="str">
        <f>RSDTechsCE!F39</f>
        <v>RSDHH2</v>
      </c>
      <c r="C42" s="145" t="str">
        <f>IF(RSDTechsCE!G39="","",RSDTechsCE!G39)</f>
        <v/>
      </c>
      <c r="D42" s="145" t="str">
        <f>IF(RSDTechsCE!H39="","",RSDTechsCE!H39)</f>
        <v>RSDELC, R_ES-DH-SpHeat,R_ES-DH-WatHeat</v>
      </c>
      <c r="E42" s="156">
        <v>2011</v>
      </c>
      <c r="F42" s="156">
        <f>RSDTechsCE!K39</f>
        <v>10</v>
      </c>
      <c r="G42" s="157">
        <v>1</v>
      </c>
      <c r="H42" s="156">
        <v>0.47499999999999998</v>
      </c>
      <c r="J42" s="156"/>
      <c r="K42" s="163"/>
      <c r="L42" s="163">
        <v>0.84</v>
      </c>
      <c r="M42" s="163">
        <v>0.84</v>
      </c>
      <c r="N42" s="163">
        <v>0.84</v>
      </c>
      <c r="O42" s="157"/>
      <c r="Q42" s="145" t="s">
        <v>388</v>
      </c>
      <c r="R42" s="145" t="str">
        <f>RSDTechsCE!B39</f>
        <v>R_ES-CHP-DH_HH201</v>
      </c>
      <c r="S42" s="145" t="str">
        <f>RSDTechsCE!C39&amp;" ("&amp;RSDTechsCE!D39&amp;")"</f>
        <v>CHP fuel cells – Hydrogen fuel cell (DH)</v>
      </c>
      <c r="T42" s="145" t="s">
        <v>31</v>
      </c>
      <c r="U42" s="145" t="s">
        <v>440</v>
      </c>
      <c r="X42" s="158"/>
    </row>
    <row r="43" spans="1:24" x14ac:dyDescent="0.25">
      <c r="A43" s="145" t="str">
        <f t="shared" si="0"/>
        <v>R_ES-CHP-DH-GASspl</v>
      </c>
      <c r="B43" s="145" t="str">
        <f>RSDTechsCE!F40</f>
        <v>RSDLPG, RSDBGS, RSDGAS</v>
      </c>
      <c r="C43" s="145" t="str">
        <f>IF(RSDTechsCE!G40="","",RSDTechsCE!G40)</f>
        <v/>
      </c>
      <c r="D43" s="145" t="str">
        <f>IF(RSDTechsCE!H40="","",RSDTechsCE!H40)</f>
        <v>R_ES-DH-SpHeat, R_ES-DH-WatHeat</v>
      </c>
      <c r="E43" s="156">
        <v>2011</v>
      </c>
      <c r="F43" s="156">
        <f>RSDTechsCE!K40</f>
        <v>20</v>
      </c>
      <c r="G43" s="157">
        <v>1</v>
      </c>
      <c r="H43" s="156"/>
      <c r="I43" s="297">
        <f>I11</f>
        <v>0.95</v>
      </c>
      <c r="J43" s="156"/>
      <c r="K43" s="163">
        <f>0.7*I43</f>
        <v>0.66499999999999992</v>
      </c>
      <c r="L43" s="163"/>
      <c r="M43" s="163"/>
      <c r="N43" s="163"/>
      <c r="O43" s="157"/>
      <c r="Q43" s="145" t="s">
        <v>439</v>
      </c>
      <c r="R43" s="145" t="str">
        <f>RSDTechsCE!B40</f>
        <v>R_ES-CHP-DH-GASspl</v>
      </c>
      <c r="S43" s="145" t="str">
        <f>RSDTechsCE!C40&amp;" ("&amp;RSDTechsCE!D40&amp;")"</f>
        <v>Backup for CHPs - Natural Gas boiler (DH)</v>
      </c>
      <c r="T43" s="145" t="s">
        <v>31</v>
      </c>
      <c r="U43" s="145" t="s">
        <v>440</v>
      </c>
      <c r="X43" s="158"/>
    </row>
    <row r="44" spans="1:24" x14ac:dyDescent="0.25">
      <c r="A44" s="145" t="str">
        <f t="shared" si="0"/>
        <v>R_ES-CHP-DH-OILspl</v>
      </c>
      <c r="B44" s="145" t="str">
        <f>RSDTechsCE!F41</f>
        <v>RSDBDL, RSDOIL</v>
      </c>
      <c r="C44" s="145" t="str">
        <f>IF(RSDTechsCE!G41="","",RSDTechsCE!G41)</f>
        <v/>
      </c>
      <c r="D44" s="145" t="str">
        <f>IF(RSDTechsCE!H41="","",RSDTechsCE!H41)</f>
        <v>R_ES-DH-SpHeat, R_ES-DH-WatHeat</v>
      </c>
      <c r="E44" s="156">
        <v>2011</v>
      </c>
      <c r="F44" s="156">
        <f>RSDTechsCE!K41</f>
        <v>22</v>
      </c>
      <c r="G44" s="157">
        <v>1</v>
      </c>
      <c r="H44" s="156"/>
      <c r="I44" s="297">
        <f>I7</f>
        <v>0.9</v>
      </c>
      <c r="J44" s="156"/>
      <c r="K44" s="163">
        <f>0.7*I44</f>
        <v>0.63</v>
      </c>
      <c r="L44" s="163"/>
      <c r="M44" s="163"/>
      <c r="N44" s="163"/>
      <c r="O44" s="157"/>
      <c r="Q44" s="145" t="s">
        <v>439</v>
      </c>
      <c r="R44" s="145" t="str">
        <f>RSDTechsCE!B41</f>
        <v>R_ES-CHP-DH-OILspl</v>
      </c>
      <c r="S44" s="145" t="str">
        <f>RSDTechsCE!C41&amp;" ("&amp;RSDTechsCE!D41&amp;")"</f>
        <v>Backup for CHPs - Oil boiler (DH)</v>
      </c>
      <c r="T44" s="145" t="s">
        <v>31</v>
      </c>
      <c r="U44" s="145" t="s">
        <v>440</v>
      </c>
      <c r="X44" s="158"/>
    </row>
    <row r="46" spans="1:24" x14ac:dyDescent="0.25">
      <c r="D46" s="146" t="s">
        <v>15</v>
      </c>
      <c r="Q46" s="146" t="s">
        <v>11</v>
      </c>
    </row>
    <row r="47" spans="1:24" ht="57.75" x14ac:dyDescent="0.25">
      <c r="A47" s="147" t="s">
        <v>17</v>
      </c>
      <c r="B47" s="147" t="s">
        <v>19</v>
      </c>
      <c r="C47" s="147" t="s">
        <v>355</v>
      </c>
      <c r="D47" s="147" t="s">
        <v>20</v>
      </c>
      <c r="E47" s="148" t="s">
        <v>280</v>
      </c>
      <c r="F47" s="148" t="s">
        <v>216</v>
      </c>
      <c r="G47" s="148" t="s">
        <v>292</v>
      </c>
      <c r="H47" s="148" t="s">
        <v>66</v>
      </c>
      <c r="I47" s="214" t="s">
        <v>816</v>
      </c>
      <c r="J47" s="214" t="s">
        <v>817</v>
      </c>
      <c r="K47" s="214" t="s">
        <v>824</v>
      </c>
      <c r="L47" s="214" t="s">
        <v>389</v>
      </c>
      <c r="M47" s="214" t="s">
        <v>555</v>
      </c>
      <c r="N47" s="214" t="s">
        <v>556</v>
      </c>
      <c r="O47" s="148" t="s">
        <v>515</v>
      </c>
      <c r="Q47" s="147" t="s">
        <v>16</v>
      </c>
      <c r="R47" s="147" t="s">
        <v>17</v>
      </c>
      <c r="S47" s="147" t="s">
        <v>18</v>
      </c>
      <c r="T47" s="147" t="s">
        <v>12</v>
      </c>
      <c r="U47" s="147" t="s">
        <v>13</v>
      </c>
      <c r="V47" s="147" t="s">
        <v>14</v>
      </c>
      <c r="W47" s="147" t="s">
        <v>516</v>
      </c>
      <c r="X47" s="147" t="s">
        <v>305</v>
      </c>
    </row>
    <row r="48" spans="1:24" ht="26.25" thickBot="1" x14ac:dyDescent="0.3">
      <c r="A48" s="149" t="s">
        <v>517</v>
      </c>
      <c r="B48" s="149"/>
      <c r="C48" s="149"/>
      <c r="D48" s="149"/>
      <c r="E48" s="150"/>
      <c r="F48" s="150" t="s">
        <v>518</v>
      </c>
      <c r="G48" s="150"/>
      <c r="H48" s="150"/>
      <c r="I48" s="150"/>
      <c r="J48" s="150"/>
      <c r="K48" s="150"/>
      <c r="L48" s="150"/>
      <c r="M48" s="150"/>
      <c r="N48" s="150"/>
      <c r="O48" s="151" t="s">
        <v>519</v>
      </c>
      <c r="P48" s="152"/>
      <c r="Q48" s="153" t="s">
        <v>520</v>
      </c>
      <c r="R48" s="153" t="s">
        <v>521</v>
      </c>
      <c r="S48" s="153" t="s">
        <v>522</v>
      </c>
      <c r="T48" s="153" t="s">
        <v>523</v>
      </c>
      <c r="U48" s="153" t="s">
        <v>524</v>
      </c>
      <c r="V48" s="153"/>
      <c r="W48" s="153" t="s">
        <v>525</v>
      </c>
      <c r="X48" s="153"/>
    </row>
    <row r="49" spans="1:24" x14ac:dyDescent="0.25">
      <c r="A49" s="154" t="str">
        <f>R49</f>
        <v>*Detached post70 (DH-70)</v>
      </c>
      <c r="B49" s="154"/>
      <c r="C49" s="154" t="str">
        <f>IF(RSDTechsCE!G44="","",RSDTechsCE!G44)</f>
        <v/>
      </c>
      <c r="D49" s="154" t="str">
        <f>IF(RSDTechsCE!H44="","",RSDTechsCE!H44)</f>
        <v/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Q49" s="154" t="s">
        <v>527</v>
      </c>
      <c r="R49" s="154" t="str">
        <f>RSDTechsCE!A44</f>
        <v>*Detached post70 (DH-70)</v>
      </c>
      <c r="S49" s="154"/>
      <c r="T49" s="154"/>
      <c r="U49" s="154"/>
      <c r="V49" s="154"/>
      <c r="W49" s="154"/>
      <c r="X49" s="154"/>
    </row>
    <row r="50" spans="1:24" x14ac:dyDescent="0.25">
      <c r="A50" s="145" t="str">
        <f t="shared" si="0"/>
        <v>R_ES-SH-DH-70_OIL01</v>
      </c>
      <c r="B50" s="145" t="str">
        <f>RSDTechsCE!F45</f>
        <v>RSDOIL, RSDBDL</v>
      </c>
      <c r="C50" s="145" t="str">
        <f>IF(RSDTechsCE!G45="","",RSDTechsCE!G45)</f>
        <v/>
      </c>
      <c r="D50" s="145" t="str">
        <f>IF(RSDTechsCE!H45="","",RSDTechsCE!H45)</f>
        <v>R_ES-DH-70-SpHeat, R_ES-DH-Watheat</v>
      </c>
      <c r="E50" s="156">
        <v>2011</v>
      </c>
      <c r="F50" s="157">
        <f>RSDTechsCE!K45</f>
        <v>20</v>
      </c>
      <c r="G50" s="157">
        <v>1</v>
      </c>
      <c r="H50" s="156" t="str">
        <f>IF(ISBLANK(H7),"",H7)</f>
        <v/>
      </c>
      <c r="I50" s="156">
        <f t="shared" ref="I50:N50" si="2">IF(ISBLANK(I7),"",I7)</f>
        <v>0.9</v>
      </c>
      <c r="J50" s="156" t="str">
        <f t="shared" si="2"/>
        <v/>
      </c>
      <c r="K50" s="156">
        <f t="shared" si="2"/>
        <v>0.63</v>
      </c>
      <c r="L50" s="156" t="str">
        <f t="shared" si="2"/>
        <v/>
      </c>
      <c r="M50" s="156" t="str">
        <f t="shared" si="2"/>
        <v/>
      </c>
      <c r="N50" s="156" t="str">
        <f t="shared" si="2"/>
        <v/>
      </c>
      <c r="O50" s="157"/>
      <c r="Q50" s="145" t="s">
        <v>439</v>
      </c>
      <c r="R50" s="145" t="str">
        <f>RSDTechsCE!B45</f>
        <v>R_ES-SH-DH-70_OIL01</v>
      </c>
      <c r="S50" s="145" t="str">
        <f>RSDTechsCE!C45&amp;" ("&amp;RSDTechsCE!D45&amp;")"</f>
        <v>Oil/Biodiesel boiler condensing_SH-WH (DH-70)</v>
      </c>
      <c r="T50" s="145" t="s">
        <v>31</v>
      </c>
      <c r="U50" s="145" t="s">
        <v>440</v>
      </c>
      <c r="X50" s="158"/>
    </row>
    <row r="51" spans="1:24" x14ac:dyDescent="0.25">
      <c r="A51" s="145" t="str">
        <f t="shared" si="0"/>
        <v>R_ES-SH-DH-70_OIL02</v>
      </c>
      <c r="B51" s="145" t="str">
        <f>RSDTechsCE!F46</f>
        <v>RSDOIL, RSDBDL</v>
      </c>
      <c r="C51" s="145" t="str">
        <f>IF(RSDTechsCE!G46="","",RSDTechsCE!G46)</f>
        <v/>
      </c>
      <c r="D51" s="145" t="str">
        <f>IF(RSDTechsCE!H46="","",RSDTechsCE!H46)</f>
        <v>R_ES-DH-70-SpHeat, R_ES-DH-Watheat</v>
      </c>
      <c r="E51" s="156">
        <v>2011</v>
      </c>
      <c r="F51" s="156">
        <f>RSDTechsCE!K46</f>
        <v>20</v>
      </c>
      <c r="G51" s="157">
        <v>1</v>
      </c>
      <c r="H51" s="156" t="str">
        <f t="shared" ref="H51:N51" si="3">IF(ISBLANK(H8),"",H8)</f>
        <v/>
      </c>
      <c r="I51" s="156">
        <f t="shared" si="3"/>
        <v>0.9</v>
      </c>
      <c r="J51" s="156" t="str">
        <f t="shared" si="3"/>
        <v/>
      </c>
      <c r="K51" s="156">
        <f t="shared" si="3"/>
        <v>0.63</v>
      </c>
      <c r="L51" s="156" t="str">
        <f t="shared" si="3"/>
        <v/>
      </c>
      <c r="M51" s="156" t="str">
        <f t="shared" si="3"/>
        <v/>
      </c>
      <c r="N51" s="156" t="str">
        <f t="shared" si="3"/>
        <v/>
      </c>
      <c r="O51" s="157"/>
      <c r="Q51" s="145" t="s">
        <v>439</v>
      </c>
      <c r="R51" s="145" t="str">
        <f>RSDTechsCE!B46</f>
        <v>R_ES-SH-DH-70_OIL02</v>
      </c>
      <c r="S51" s="145" t="str">
        <f>RSDTechsCE!C46&amp;" ("&amp;RSDTechsCE!D46&amp;")"</f>
        <v>Oil/Biodiesel boiler condensing + wt other techs_SH-WH  (DH-70)</v>
      </c>
      <c r="T51" s="145" t="s">
        <v>31</v>
      </c>
      <c r="U51" s="145" t="s">
        <v>440</v>
      </c>
      <c r="X51" s="158"/>
    </row>
    <row r="52" spans="1:24" x14ac:dyDescent="0.25">
      <c r="A52" s="145" t="str">
        <f t="shared" si="0"/>
        <v>R_ES-SH-DH-70_OIL02-SOLspl</v>
      </c>
      <c r="B52" s="145" t="str">
        <f>RSDTechsCE!F47</f>
        <v>RSDSOL</v>
      </c>
      <c r="C52" s="145" t="str">
        <f>IF(RSDTechsCE!G47="","",RSDTechsCE!G47)</f>
        <v/>
      </c>
      <c r="D52" s="145" t="str">
        <f>IF(RSDTechsCE!H47="","",RSDTechsCE!H47)</f>
        <v>R_ES-DH-70-SpHeat, R_ES-DH-Watheat</v>
      </c>
      <c r="E52" s="156">
        <v>2011</v>
      </c>
      <c r="F52" s="156">
        <f>RSDTechsCE!K47</f>
        <v>20</v>
      </c>
      <c r="G52" s="157">
        <v>1</v>
      </c>
      <c r="H52" s="156" t="str">
        <f t="shared" ref="H52:N52" si="4">IF(ISBLANK(H9),"",H9)</f>
        <v/>
      </c>
      <c r="I52" s="156">
        <f t="shared" si="4"/>
        <v>1</v>
      </c>
      <c r="J52" s="156" t="str">
        <f t="shared" si="4"/>
        <v/>
      </c>
      <c r="K52" s="156">
        <f t="shared" si="4"/>
        <v>0.7</v>
      </c>
      <c r="L52" s="156" t="str">
        <f t="shared" si="4"/>
        <v/>
      </c>
      <c r="M52" s="156" t="str">
        <f t="shared" si="4"/>
        <v/>
      </c>
      <c r="N52" s="156" t="str">
        <f t="shared" si="4"/>
        <v/>
      </c>
      <c r="O52" s="157"/>
      <c r="Q52" s="145" t="s">
        <v>439</v>
      </c>
      <c r="R52" s="145" t="str">
        <f>RSDTechsCE!B47</f>
        <v>R_ES-SH-DH-70_OIL02-SOLspl</v>
      </c>
      <c r="S52" s="145" t="str">
        <f>RSDTechsCE!C47&amp;" ("&amp;RSDTechsCE!D47&amp;")"</f>
        <v>Backup for Oil boiler - Solar thermal_SH-WH  (DH-70)</v>
      </c>
      <c r="T52" s="145" t="s">
        <v>31</v>
      </c>
      <c r="U52" s="145" t="s">
        <v>440</v>
      </c>
      <c r="X52" s="158"/>
    </row>
    <row r="53" spans="1:24" x14ac:dyDescent="0.25">
      <c r="A53" s="145" t="str">
        <f t="shared" si="0"/>
        <v>R_ES-SH-DH-70_OIL02-BIOspl</v>
      </c>
      <c r="B53" s="145" t="str">
        <f>RSDTechsCE!F48</f>
        <v>RSDBIO</v>
      </c>
      <c r="C53" s="145" t="str">
        <f>IF(RSDTechsCE!G48="","",RSDTechsCE!G48)</f>
        <v/>
      </c>
      <c r="D53" s="145" t="str">
        <f>IF(RSDTechsCE!H48="","",RSDTechsCE!H48)</f>
        <v>R_ES-DH-70-SpHeat</v>
      </c>
      <c r="E53" s="156">
        <v>2011</v>
      </c>
      <c r="F53" s="156">
        <f>RSDTechsCE!K48</f>
        <v>20</v>
      </c>
      <c r="G53" s="157">
        <v>1</v>
      </c>
      <c r="H53" s="156" t="str">
        <f t="shared" ref="H53:N53" si="5">IF(ISBLANK(H10),"",H10)</f>
        <v/>
      </c>
      <c r="I53" s="156">
        <f t="shared" si="5"/>
        <v>0.65</v>
      </c>
      <c r="J53" s="156" t="str">
        <f t="shared" si="5"/>
        <v/>
      </c>
      <c r="K53" s="156" t="str">
        <f t="shared" si="5"/>
        <v/>
      </c>
      <c r="L53" s="156" t="str">
        <f t="shared" si="5"/>
        <v/>
      </c>
      <c r="M53" s="156" t="str">
        <f t="shared" si="5"/>
        <v/>
      </c>
      <c r="N53" s="156" t="str">
        <f t="shared" si="5"/>
        <v/>
      </c>
      <c r="O53" s="157"/>
      <c r="Q53" s="145" t="s">
        <v>439</v>
      </c>
      <c r="R53" s="145" t="str">
        <f>RSDTechsCE!B48</f>
        <v>R_ES-SH-DH-70_OIL02-BIOspl</v>
      </c>
      <c r="S53" s="145" t="str">
        <f>RSDTechsCE!C48&amp;" ("&amp;RSDTechsCE!D48&amp;")"</f>
        <v>Backup for Oil boiler - Wood stove_SH (DH-70)</v>
      </c>
      <c r="T53" s="145" t="s">
        <v>31</v>
      </c>
      <c r="U53" s="145" t="s">
        <v>440</v>
      </c>
      <c r="X53" s="158"/>
    </row>
    <row r="54" spans="1:24" x14ac:dyDescent="0.25">
      <c r="A54" s="145" t="str">
        <f t="shared" si="0"/>
        <v>R_ES-SH-DH-70_GAS01</v>
      </c>
      <c r="B54" s="145" t="str">
        <f>RSDTechsCE!F49</f>
        <v>RSDGAS, RSDLPG, RSDBGS</v>
      </c>
      <c r="C54" s="145" t="str">
        <f>IF(RSDTechsCE!G49="","",RSDTechsCE!G49)</f>
        <v/>
      </c>
      <c r="D54" s="145" t="str">
        <f>IF(RSDTechsCE!H49="","",RSDTechsCE!H49)</f>
        <v>R_ES-DH-70-SpHeat, R_ES-DH-Watheat</v>
      </c>
      <c r="E54" s="156">
        <v>2011</v>
      </c>
      <c r="F54" s="156">
        <f>RSDTechsCE!K49</f>
        <v>22</v>
      </c>
      <c r="G54" s="157">
        <v>1</v>
      </c>
      <c r="H54" s="156" t="str">
        <f t="shared" ref="H54:N54" si="6">IF(ISBLANK(H11),"",H11)</f>
        <v/>
      </c>
      <c r="I54" s="156">
        <f t="shared" si="6"/>
        <v>0.95</v>
      </c>
      <c r="J54" s="156" t="str">
        <f t="shared" si="6"/>
        <v/>
      </c>
      <c r="K54" s="156">
        <f t="shared" si="6"/>
        <v>0.66499999999999992</v>
      </c>
      <c r="L54" s="156" t="str">
        <f t="shared" si="6"/>
        <v/>
      </c>
      <c r="M54" s="156" t="str">
        <f t="shared" si="6"/>
        <v/>
      </c>
      <c r="N54" s="156" t="str">
        <f t="shared" si="6"/>
        <v/>
      </c>
      <c r="O54" s="157"/>
      <c r="Q54" s="145" t="s">
        <v>439</v>
      </c>
      <c r="R54" s="145" t="str">
        <f>RSDTechsCE!B49</f>
        <v>R_ES-SH-DH-70_GAS01</v>
      </c>
      <c r="S54" s="145" t="str">
        <f>RSDTechsCE!C49&amp;" ("&amp;RSDTechsCE!D49&amp;")"</f>
        <v>Gas/LPG/Biogas boiler condensing_SH-WH  (DH-70)</v>
      </c>
      <c r="T54" s="145" t="s">
        <v>31</v>
      </c>
      <c r="U54" s="145" t="s">
        <v>440</v>
      </c>
      <c r="X54" s="158"/>
    </row>
    <row r="55" spans="1:24" x14ac:dyDescent="0.25">
      <c r="A55" s="145" t="str">
        <f t="shared" si="0"/>
        <v>R_ES-SH-DH-70_GAS02</v>
      </c>
      <c r="B55" s="145" t="str">
        <f>RSDTechsCE!F50</f>
        <v>RSDGAS, RSDLPG, RSDBGS</v>
      </c>
      <c r="C55" s="145" t="str">
        <f>IF(RSDTechsCE!G50="","",RSDTechsCE!G50)</f>
        <v/>
      </c>
      <c r="D55" s="145" t="str">
        <f>IF(RSDTechsCE!H50="","",RSDTechsCE!H50)</f>
        <v>R_ES-DH-70-SpHeat, R_ES-DH-Watheat</v>
      </c>
      <c r="E55" s="156">
        <v>2011</v>
      </c>
      <c r="F55" s="156">
        <f>RSDTechsCE!K50</f>
        <v>22</v>
      </c>
      <c r="G55" s="157">
        <v>1</v>
      </c>
      <c r="H55" s="156" t="str">
        <f t="shared" ref="H55:N55" si="7">IF(ISBLANK(H12),"",H12)</f>
        <v/>
      </c>
      <c r="I55" s="156">
        <f t="shared" si="7"/>
        <v>0.95</v>
      </c>
      <c r="J55" s="156" t="str">
        <f t="shared" si="7"/>
        <v/>
      </c>
      <c r="K55" s="156">
        <f t="shared" si="7"/>
        <v>0.66499999999999992</v>
      </c>
      <c r="L55" s="156" t="str">
        <f t="shared" si="7"/>
        <v/>
      </c>
      <c r="M55" s="156" t="str">
        <f t="shared" si="7"/>
        <v/>
      </c>
      <c r="N55" s="156" t="str">
        <f t="shared" si="7"/>
        <v/>
      </c>
      <c r="O55" s="157"/>
      <c r="Q55" s="145" t="s">
        <v>439</v>
      </c>
      <c r="R55" s="145" t="str">
        <f>RSDTechsCE!B50</f>
        <v>R_ES-SH-DH-70_GAS02</v>
      </c>
      <c r="S55" s="145" t="str">
        <f>RSDTechsCE!C50&amp;" ("&amp;RSDTechsCE!D50&amp;")"</f>
        <v>Gas/LPG/Biogas boiler condensing + wt other techs_SH-WH (DH-70)</v>
      </c>
      <c r="T55" s="145" t="s">
        <v>31</v>
      </c>
      <c r="U55" s="145" t="s">
        <v>440</v>
      </c>
      <c r="X55" s="158"/>
    </row>
    <row r="56" spans="1:24" x14ac:dyDescent="0.25">
      <c r="A56" s="145" t="str">
        <f t="shared" si="0"/>
        <v>R_ES-SH-DH-70_GAS02-SOLspl</v>
      </c>
      <c r="B56" s="145" t="str">
        <f>RSDTechsCE!F51</f>
        <v>RSDSOL</v>
      </c>
      <c r="C56" s="145" t="str">
        <f>IF(RSDTechsCE!G51="","",RSDTechsCE!G51)</f>
        <v/>
      </c>
      <c r="D56" s="145" t="str">
        <f>IF(RSDTechsCE!H51="","",RSDTechsCE!H51)</f>
        <v>R_ES-DH-70-SpHeat, R_ES-DH-Watheat</v>
      </c>
      <c r="E56" s="156">
        <v>2011</v>
      </c>
      <c r="F56" s="156">
        <f>RSDTechsCE!K51</f>
        <v>20</v>
      </c>
      <c r="G56" s="157">
        <v>1</v>
      </c>
      <c r="H56" s="156" t="str">
        <f t="shared" ref="H56:N56" si="8">IF(ISBLANK(H13),"",H13)</f>
        <v/>
      </c>
      <c r="I56" s="156">
        <f t="shared" si="8"/>
        <v>1</v>
      </c>
      <c r="J56" s="156" t="str">
        <f t="shared" si="8"/>
        <v/>
      </c>
      <c r="K56" s="156">
        <f t="shared" si="8"/>
        <v>0.7</v>
      </c>
      <c r="L56" s="156" t="str">
        <f t="shared" si="8"/>
        <v/>
      </c>
      <c r="M56" s="156" t="str">
        <f t="shared" si="8"/>
        <v/>
      </c>
      <c r="N56" s="156" t="str">
        <f t="shared" si="8"/>
        <v/>
      </c>
      <c r="O56" s="157"/>
      <c r="Q56" s="145" t="s">
        <v>439</v>
      </c>
      <c r="R56" s="145" t="str">
        <f>RSDTechsCE!B51</f>
        <v>R_ES-SH-DH-70_GAS02-SOLspl</v>
      </c>
      <c r="S56" s="145" t="str">
        <f>RSDTechsCE!C51&amp;" ("&amp;RSDTechsCE!D51&amp;")"</f>
        <v>Backup for Gas boiler - Solar thermal_SH-WH  (DH-70)</v>
      </c>
      <c r="T56" s="145" t="s">
        <v>31</v>
      </c>
      <c r="U56" s="145" t="s">
        <v>440</v>
      </c>
      <c r="X56" s="158"/>
    </row>
    <row r="57" spans="1:24" x14ac:dyDescent="0.25">
      <c r="A57" s="145" t="str">
        <f t="shared" si="0"/>
        <v>R_ES-SH-DH-70_GAS02-BIOspl</v>
      </c>
      <c r="B57" s="145" t="str">
        <f>RSDTechsCE!F52</f>
        <v>RSDBIO</v>
      </c>
      <c r="C57" s="145" t="str">
        <f>IF(RSDTechsCE!G52="","",RSDTechsCE!G52)</f>
        <v/>
      </c>
      <c r="D57" s="145" t="str">
        <f>IF(RSDTechsCE!H52="","",RSDTechsCE!H52)</f>
        <v>R_ES-DH-70-SpHeat</v>
      </c>
      <c r="E57" s="156">
        <v>2011</v>
      </c>
      <c r="F57" s="156">
        <f>RSDTechsCE!K52</f>
        <v>20</v>
      </c>
      <c r="G57" s="157">
        <v>1</v>
      </c>
      <c r="H57" s="156" t="str">
        <f t="shared" ref="H57:N57" si="9">IF(ISBLANK(H14),"",H14)</f>
        <v/>
      </c>
      <c r="I57" s="156">
        <f t="shared" si="9"/>
        <v>0.65</v>
      </c>
      <c r="J57" s="156" t="str">
        <f t="shared" si="9"/>
        <v/>
      </c>
      <c r="K57" s="156" t="str">
        <f t="shared" si="9"/>
        <v/>
      </c>
      <c r="L57" s="156" t="str">
        <f t="shared" si="9"/>
        <v/>
      </c>
      <c r="M57" s="156" t="str">
        <f t="shared" si="9"/>
        <v/>
      </c>
      <c r="N57" s="156" t="str">
        <f t="shared" si="9"/>
        <v/>
      </c>
      <c r="O57" s="157"/>
      <c r="Q57" s="145" t="s">
        <v>439</v>
      </c>
      <c r="R57" s="145" t="str">
        <f>RSDTechsCE!B52</f>
        <v>R_ES-SH-DH-70_GAS02-BIOspl</v>
      </c>
      <c r="S57" s="145" t="str">
        <f>RSDTechsCE!C52&amp;" ("&amp;RSDTechsCE!D52&amp;")"</f>
        <v>Backup for Gas boiler - Wood stove_SH (DH-70)</v>
      </c>
      <c r="T57" s="145" t="s">
        <v>31</v>
      </c>
      <c r="U57" s="145" t="s">
        <v>440</v>
      </c>
      <c r="X57" s="158"/>
    </row>
    <row r="58" spans="1:24" x14ac:dyDescent="0.25">
      <c r="A58" s="145" t="str">
        <f t="shared" si="0"/>
        <v>R_ES-SH-DH-70_BIO01</v>
      </c>
      <c r="B58" s="145" t="str">
        <f>RSDTechsCE!F53</f>
        <v>RSDBIO</v>
      </c>
      <c r="C58" s="145" t="str">
        <f>IF(RSDTechsCE!G53="","",RSDTechsCE!G53)</f>
        <v/>
      </c>
      <c r="D58" s="145" t="str">
        <f>IF(RSDTechsCE!H53="","",RSDTechsCE!H53)</f>
        <v>R_ES-DH-70-SpHeat, R_ES-DH-Watheat</v>
      </c>
      <c r="E58" s="156">
        <v>2011</v>
      </c>
      <c r="F58" s="156">
        <f>RSDTechsCE!K53</f>
        <v>20</v>
      </c>
      <c r="G58" s="157">
        <v>1</v>
      </c>
      <c r="H58" s="156" t="str">
        <f t="shared" ref="H58:N58" si="10">IF(ISBLANK(H15),"",H15)</f>
        <v/>
      </c>
      <c r="I58" s="156">
        <f t="shared" si="10"/>
        <v>0.67308496185599331</v>
      </c>
      <c r="J58" s="156" t="str">
        <f t="shared" si="10"/>
        <v/>
      </c>
      <c r="K58" s="156">
        <f t="shared" si="10"/>
        <v>0.47115947329919527</v>
      </c>
      <c r="L58" s="156" t="str">
        <f t="shared" si="10"/>
        <v/>
      </c>
      <c r="M58" s="156" t="str">
        <f t="shared" si="10"/>
        <v/>
      </c>
      <c r="N58" s="156" t="str">
        <f t="shared" si="10"/>
        <v/>
      </c>
      <c r="O58" s="157"/>
      <c r="Q58" s="145" t="s">
        <v>439</v>
      </c>
      <c r="R58" s="145" t="str">
        <f>RSDTechsCE!B53</f>
        <v>R_ES-SH-DH-70_BIO01</v>
      </c>
      <c r="S58" s="145" t="str">
        <f>RSDTechsCE!C53&amp;" ("&amp;RSDTechsCE!D53&amp;")"</f>
        <v>Biomass boiler_SH-WH (DH-70)</v>
      </c>
      <c r="T58" s="145" t="s">
        <v>31</v>
      </c>
      <c r="U58" s="145" t="s">
        <v>440</v>
      </c>
      <c r="X58" s="158"/>
    </row>
    <row r="59" spans="1:24" x14ac:dyDescent="0.25">
      <c r="A59" s="159" t="str">
        <f t="shared" si="0"/>
        <v>R_ES-SH-DH-70_ELC01</v>
      </c>
      <c r="B59" s="159" t="str">
        <f>RSDTechsCE!F54</f>
        <v>RSDELC</v>
      </c>
      <c r="C59" s="159" t="str">
        <f>IF(RSDTechsCE!G54="","",RSDTechsCE!G54)</f>
        <v/>
      </c>
      <c r="D59" s="159" t="str">
        <f>IF(RSDTechsCE!H54="","",RSDTechsCE!H54)</f>
        <v>R_ES-DH-70-SpHeat, R_ES-DH-Watheat</v>
      </c>
      <c r="E59" s="160">
        <v>2011</v>
      </c>
      <c r="F59" s="160">
        <f>RSDTechsCE!K54</f>
        <v>15</v>
      </c>
      <c r="G59" s="161">
        <v>1</v>
      </c>
      <c r="H59" s="160" t="str">
        <f t="shared" ref="H59:N59" si="11">IF(ISBLANK(H16),"",H16)</f>
        <v/>
      </c>
      <c r="I59" s="160">
        <f t="shared" si="11"/>
        <v>1</v>
      </c>
      <c r="J59" s="160" t="str">
        <f t="shared" si="11"/>
        <v/>
      </c>
      <c r="K59" s="160">
        <f t="shared" si="11"/>
        <v>0.7</v>
      </c>
      <c r="L59" s="160" t="str">
        <f t="shared" si="11"/>
        <v/>
      </c>
      <c r="M59" s="160" t="str">
        <f t="shared" si="11"/>
        <v/>
      </c>
      <c r="N59" s="160" t="str">
        <f t="shared" si="11"/>
        <v/>
      </c>
      <c r="O59" s="161"/>
      <c r="Q59" s="159" t="s">
        <v>439</v>
      </c>
      <c r="R59" s="159" t="str">
        <f>RSDTechsCE!B54</f>
        <v>R_ES-SH-DH-70_ELC01</v>
      </c>
      <c r="S59" s="159" t="str">
        <f>RSDTechsCE!C54&amp;" ("&amp;RSDTechsCE!D54&amp;")"</f>
        <v>Electric boiler_SH-WH (DH-70)</v>
      </c>
      <c r="T59" s="159" t="s">
        <v>31</v>
      </c>
      <c r="U59" s="159" t="s">
        <v>440</v>
      </c>
      <c r="V59" s="159"/>
      <c r="W59" s="159"/>
      <c r="X59" s="162"/>
    </row>
    <row r="60" spans="1:24" x14ac:dyDescent="0.25">
      <c r="A60" s="145" t="str">
        <f t="shared" si="0"/>
        <v>R_ES-SH-DH-70_ELC02</v>
      </c>
      <c r="B60" s="145" t="str">
        <f>RSDTechsCE!F55</f>
        <v>RSDELC</v>
      </c>
      <c r="C60" s="145" t="str">
        <f>IF(RSDTechsCE!G55="","",RSDTechsCE!G55)</f>
        <v>RSDAHT</v>
      </c>
      <c r="D60" s="145" t="str">
        <f>IF(RSDTechsCE!H55="","",RSDTechsCE!H55)</f>
        <v>R_ES-DH-70-SpHeat, R_ES-DH-Spcool</v>
      </c>
      <c r="E60" s="156">
        <v>2011</v>
      </c>
      <c r="F60" s="156">
        <f>RSDTechsCE!K55</f>
        <v>20</v>
      </c>
      <c r="G60" s="157">
        <v>1</v>
      </c>
      <c r="H60" s="156" t="str">
        <f t="shared" ref="H60:N60" si="12">IF(ISBLANK(H17),"",H17)</f>
        <v/>
      </c>
      <c r="I60" s="156" t="str">
        <f t="shared" si="12"/>
        <v/>
      </c>
      <c r="J60" s="156">
        <f t="shared" si="12"/>
        <v>5</v>
      </c>
      <c r="K60" s="156" t="str">
        <f t="shared" si="12"/>
        <v/>
      </c>
      <c r="L60" s="156" t="str">
        <f t="shared" si="12"/>
        <v/>
      </c>
      <c r="M60" s="156" t="str">
        <f t="shared" si="12"/>
        <v/>
      </c>
      <c r="N60" s="156" t="str">
        <f t="shared" si="12"/>
        <v/>
      </c>
      <c r="O60" s="157"/>
      <c r="Q60" s="145" t="s">
        <v>439</v>
      </c>
      <c r="R60" s="145" t="str">
        <f>RSDTechsCE!B55</f>
        <v>R_ES-SH-DH-70_ELC02</v>
      </c>
      <c r="S60" s="145" t="str">
        <f>RSDTechsCE!C55&amp;" ("&amp;RSDTechsCE!D55&amp;")"</f>
        <v>Heat Pump Air-to-Air_SH (DH-70)</v>
      </c>
      <c r="T60" s="145" t="s">
        <v>31</v>
      </c>
      <c r="U60" s="145" t="s">
        <v>440</v>
      </c>
      <c r="X60" s="158"/>
    </row>
    <row r="61" spans="1:24" x14ac:dyDescent="0.25">
      <c r="A61" s="145" t="str">
        <f t="shared" si="0"/>
        <v>R_ES-SH-DH-70_ELC02-ELCspl</v>
      </c>
      <c r="B61" s="145" t="str">
        <f>RSDTechsCE!F56</f>
        <v>RSDELC</v>
      </c>
      <c r="C61" s="145" t="str">
        <f>IF(RSDTechsCE!G56="","",RSDTechsCE!G56)</f>
        <v/>
      </c>
      <c r="D61" s="145" t="str">
        <f>IF(RSDTechsCE!H56="","",RSDTechsCE!H56)</f>
        <v>R_ES-DH-70-SpHeat, R_ES-DH-Watheat</v>
      </c>
      <c r="E61" s="156">
        <v>2011</v>
      </c>
      <c r="F61" s="156">
        <f>RSDTechsCE!K56</f>
        <v>15</v>
      </c>
      <c r="G61" s="157">
        <v>1</v>
      </c>
      <c r="H61" s="156" t="str">
        <f t="shared" ref="H61:N61" si="13">IF(ISBLANK(H18),"",H18)</f>
        <v/>
      </c>
      <c r="I61" s="156">
        <f t="shared" si="13"/>
        <v>1</v>
      </c>
      <c r="J61" s="156" t="str">
        <f t="shared" si="13"/>
        <v/>
      </c>
      <c r="K61" s="156">
        <f t="shared" si="13"/>
        <v>0.7</v>
      </c>
      <c r="L61" s="156" t="str">
        <f t="shared" si="13"/>
        <v/>
      </c>
      <c r="M61" s="156" t="str">
        <f t="shared" si="13"/>
        <v/>
      </c>
      <c r="N61" s="156" t="str">
        <f t="shared" si="13"/>
        <v/>
      </c>
      <c r="O61" s="157"/>
      <c r="Q61" s="145" t="s">
        <v>439</v>
      </c>
      <c r="R61" s="145" t="str">
        <f>RSDTechsCE!B56</f>
        <v>R_ES-SH-DH-70_ELC02-ELCspl</v>
      </c>
      <c r="S61" s="145" t="str">
        <f>RSDTechsCE!C56&amp;" ("&amp;RSDTechsCE!D56&amp;")"</f>
        <v>Backup for Heat Pump Air-to-Air - Electric_SH-WH  (DH-70)</v>
      </c>
      <c r="T61" s="145" t="s">
        <v>31</v>
      </c>
      <c r="U61" s="145" t="s">
        <v>440</v>
      </c>
      <c r="X61" s="158"/>
    </row>
    <row r="62" spans="1:24" x14ac:dyDescent="0.25">
      <c r="A62" s="145" t="str">
        <f t="shared" si="0"/>
        <v>R_ES-SH-DH-70_ELC02-GASspl</v>
      </c>
      <c r="B62" s="145" t="str">
        <f>RSDTechsCE!F57</f>
        <v>RSDLPG, RSDBGS, RSDGAS</v>
      </c>
      <c r="C62" s="145" t="str">
        <f>IF(RSDTechsCE!G57="","",RSDTechsCE!G57)</f>
        <v/>
      </c>
      <c r="D62" s="145" t="str">
        <f>IF(RSDTechsCE!H57="","",RSDTechsCE!H57)</f>
        <v>R_ES-DH-70-SpHeat, R_ES-DH-Watheat</v>
      </c>
      <c r="E62" s="156">
        <v>2011</v>
      </c>
      <c r="F62" s="156">
        <f>RSDTechsCE!K57</f>
        <v>22</v>
      </c>
      <c r="G62" s="157">
        <v>1</v>
      </c>
      <c r="H62" s="156" t="str">
        <f t="shared" ref="H62:N62" si="14">IF(ISBLANK(H19),"",H19)</f>
        <v/>
      </c>
      <c r="I62" s="156">
        <f t="shared" si="14"/>
        <v>0.84679858006836706</v>
      </c>
      <c r="J62" s="156" t="str">
        <f t="shared" si="14"/>
        <v/>
      </c>
      <c r="K62" s="156">
        <f t="shared" si="14"/>
        <v>0.59275900604785692</v>
      </c>
      <c r="L62" s="156" t="str">
        <f t="shared" si="14"/>
        <v/>
      </c>
      <c r="M62" s="156" t="str">
        <f t="shared" si="14"/>
        <v/>
      </c>
      <c r="N62" s="156" t="str">
        <f t="shared" si="14"/>
        <v/>
      </c>
      <c r="O62" s="157"/>
      <c r="Q62" s="145" t="s">
        <v>439</v>
      </c>
      <c r="R62" s="145" t="str">
        <f>RSDTechsCE!B57</f>
        <v>R_ES-SH-DH-70_ELC02-GASspl</v>
      </c>
      <c r="S62" s="145" t="str">
        <f>RSDTechsCE!C57&amp;" ("&amp;RSDTechsCE!D57&amp;")"</f>
        <v>Backup for Heat Pump Air-to-Air - Natural Gas boiler_SH-WH  (DH-70)</v>
      </c>
      <c r="T62" s="145" t="s">
        <v>31</v>
      </c>
      <c r="U62" s="145" t="s">
        <v>440</v>
      </c>
      <c r="X62" s="158"/>
    </row>
    <row r="63" spans="1:24" x14ac:dyDescent="0.25">
      <c r="A63" s="145" t="str">
        <f t="shared" si="0"/>
        <v>R_ES-SH-DH-70_ELC02-BIOspl</v>
      </c>
      <c r="B63" s="145" t="str">
        <f>RSDTechsCE!F58</f>
        <v>RSDBIO</v>
      </c>
      <c r="C63" s="145" t="str">
        <f>IF(RSDTechsCE!G58="","",RSDTechsCE!G58)</f>
        <v/>
      </c>
      <c r="D63" s="145" t="str">
        <f>IF(RSDTechsCE!H58="","",RSDTechsCE!H58)</f>
        <v>R_ES-DH-70-SpHeat, R_ES-DH-Watheat</v>
      </c>
      <c r="E63" s="156">
        <v>2011</v>
      </c>
      <c r="F63" s="156">
        <f>RSDTechsCE!K58</f>
        <v>20</v>
      </c>
      <c r="G63" s="157">
        <v>1</v>
      </c>
      <c r="H63" s="156" t="str">
        <f t="shared" ref="H63:N63" si="15">IF(ISBLANK(H20),"",H20)</f>
        <v/>
      </c>
      <c r="I63" s="156">
        <f t="shared" si="15"/>
        <v>0.67308496185599331</v>
      </c>
      <c r="J63" s="156" t="str">
        <f t="shared" si="15"/>
        <v/>
      </c>
      <c r="K63" s="156">
        <f t="shared" si="15"/>
        <v>0.47115947329919527</v>
      </c>
      <c r="L63" s="156" t="str">
        <f t="shared" si="15"/>
        <v/>
      </c>
      <c r="M63" s="156" t="str">
        <f t="shared" si="15"/>
        <v/>
      </c>
      <c r="N63" s="156" t="str">
        <f t="shared" si="15"/>
        <v/>
      </c>
      <c r="O63" s="157"/>
      <c r="Q63" s="145" t="s">
        <v>439</v>
      </c>
      <c r="R63" s="145" t="str">
        <f>RSDTechsCE!B58</f>
        <v>R_ES-SH-DH-70_ELC02-BIOspl</v>
      </c>
      <c r="S63" s="145" t="str">
        <f>RSDTechsCE!C58&amp;" ("&amp;RSDTechsCE!D58&amp;")"</f>
        <v>Backup for Heat Pump Air-to-Air - Biomass boiler_SH-WH  (DH-70)</v>
      </c>
      <c r="T63" s="145" t="s">
        <v>31</v>
      </c>
      <c r="U63" s="145" t="s">
        <v>440</v>
      </c>
      <c r="X63" s="158"/>
    </row>
    <row r="64" spans="1:24" x14ac:dyDescent="0.25">
      <c r="A64" s="145" t="str">
        <f t="shared" si="0"/>
        <v>R_ES-SH-DH-70_ELC02-SOLspl</v>
      </c>
      <c r="B64" s="145" t="str">
        <f>RSDTechsCE!F59</f>
        <v>RSDSOL</v>
      </c>
      <c r="C64" s="145" t="str">
        <f>IF(RSDTechsCE!G59="","",RSDTechsCE!G59)</f>
        <v/>
      </c>
      <c r="D64" s="145" t="str">
        <f>IF(RSDTechsCE!H59="","",RSDTechsCE!H59)</f>
        <v>R_ES-DH-70-SpHeat, R_ES-DH-Watheat</v>
      </c>
      <c r="E64" s="156">
        <v>2011</v>
      </c>
      <c r="F64" s="156">
        <f>RSDTechsCE!K59</f>
        <v>20</v>
      </c>
      <c r="G64" s="157">
        <v>1</v>
      </c>
      <c r="H64" s="156" t="str">
        <f t="shared" ref="H64:N64" si="16">IF(ISBLANK(H21),"",H21)</f>
        <v/>
      </c>
      <c r="I64" s="156">
        <f t="shared" si="16"/>
        <v>1</v>
      </c>
      <c r="J64" s="156" t="str">
        <f t="shared" si="16"/>
        <v/>
      </c>
      <c r="K64" s="156">
        <f t="shared" si="16"/>
        <v>0.7</v>
      </c>
      <c r="L64" s="156" t="str">
        <f t="shared" si="16"/>
        <v/>
      </c>
      <c r="M64" s="156" t="str">
        <f t="shared" si="16"/>
        <v/>
      </c>
      <c r="N64" s="156" t="str">
        <f t="shared" si="16"/>
        <v/>
      </c>
      <c r="O64" s="157"/>
      <c r="Q64" s="145" t="s">
        <v>439</v>
      </c>
      <c r="R64" s="145" t="str">
        <f>RSDTechsCE!B59</f>
        <v>R_ES-SH-DH-70_ELC02-SOLspl</v>
      </c>
      <c r="S64" s="145" t="str">
        <f>RSDTechsCE!C59&amp;" ("&amp;RSDTechsCE!D59&amp;")"</f>
        <v>Backup for Heat Pump Air-to-Air - Solar thermal_SH-WH  (DH-70)</v>
      </c>
      <c r="T64" s="145" t="s">
        <v>31</v>
      </c>
      <c r="U64" s="145" t="s">
        <v>440</v>
      </c>
      <c r="X64" s="158"/>
    </row>
    <row r="65" spans="1:24" x14ac:dyDescent="0.25">
      <c r="A65" s="145" t="str">
        <f t="shared" si="0"/>
        <v>R_ES-SH-DH-70_ELC04</v>
      </c>
      <c r="B65" s="145" t="str">
        <f>RSDTechsCE!F60</f>
        <v>RSDELC</v>
      </c>
      <c r="C65" s="145" t="str">
        <f>IF(RSDTechsCE!G60="","",RSDTechsCE!G60)</f>
        <v>RSDAHT</v>
      </c>
      <c r="D65" s="145" t="str">
        <f>IF(RSDTechsCE!H60="","",RSDTechsCE!H60)</f>
        <v>R_ES-DH-70-SpHeat, R_ES-DH-Watheat</v>
      </c>
      <c r="E65" s="156">
        <v>2011</v>
      </c>
      <c r="F65" s="156">
        <f>RSDTechsCE!K60</f>
        <v>20</v>
      </c>
      <c r="G65" s="157">
        <v>1</v>
      </c>
      <c r="H65" s="156" t="str">
        <f t="shared" ref="H65:N65" si="17">IF(ISBLANK(H22),"",H22)</f>
        <v/>
      </c>
      <c r="I65" s="156" t="str">
        <f t="shared" si="17"/>
        <v/>
      </c>
      <c r="J65" s="156" t="str">
        <f t="shared" si="17"/>
        <v/>
      </c>
      <c r="K65" s="156">
        <f t="shared" si="17"/>
        <v>2.7</v>
      </c>
      <c r="L65" s="156" t="str">
        <f t="shared" si="17"/>
        <v/>
      </c>
      <c r="M65" s="156" t="str">
        <f t="shared" si="17"/>
        <v/>
      </c>
      <c r="N65" s="156" t="str">
        <f t="shared" si="17"/>
        <v/>
      </c>
      <c r="O65" s="157"/>
      <c r="Q65" s="145" t="s">
        <v>439</v>
      </c>
      <c r="R65" s="145" t="str">
        <f>RSDTechsCE!B60</f>
        <v>R_ES-SH-DH-70_ELC04</v>
      </c>
      <c r="S65" s="145" t="str">
        <f>RSDTechsCE!C60&amp;" ("&amp;RSDTechsCE!D60&amp;")"</f>
        <v>Heat Pump Air-to-Water_SH-WH (DH-70)</v>
      </c>
      <c r="T65" s="145" t="s">
        <v>31</v>
      </c>
      <c r="U65" s="145" t="s">
        <v>440</v>
      </c>
      <c r="X65" s="158"/>
    </row>
    <row r="66" spans="1:24" x14ac:dyDescent="0.25">
      <c r="A66" s="145" t="str">
        <f t="shared" si="0"/>
        <v>R_ES-SH-DH-70_ELC05</v>
      </c>
      <c r="B66" s="145" t="str">
        <f>RSDTechsCE!F61</f>
        <v>RSDELC</v>
      </c>
      <c r="C66" s="145" t="str">
        <f>IF(RSDTechsCE!G61="","",RSDTechsCE!G61)</f>
        <v>RSDAHT</v>
      </c>
      <c r="D66" s="145" t="str">
        <f>IF(RSDTechsCE!H61="","",RSDTechsCE!H61)</f>
        <v>R_ES-DH-70-SpHeat, R_ES-DH-Watheat, R_ES-DH-SpCool</v>
      </c>
      <c r="E66" s="156">
        <v>2011</v>
      </c>
      <c r="F66" s="156">
        <f>RSDTechsCE!K61</f>
        <v>20</v>
      </c>
      <c r="G66" s="157">
        <v>1</v>
      </c>
      <c r="H66" s="156" t="str">
        <f t="shared" ref="H66:N66" si="18">IF(ISBLANK(H23),"",H23)</f>
        <v/>
      </c>
      <c r="I66" s="156" t="str">
        <f t="shared" si="18"/>
        <v/>
      </c>
      <c r="J66" s="156">
        <f t="shared" si="18"/>
        <v>5</v>
      </c>
      <c r="K66" s="156">
        <f t="shared" si="18"/>
        <v>2.7</v>
      </c>
      <c r="L66" s="156" t="str">
        <f t="shared" si="18"/>
        <v/>
      </c>
      <c r="M66" s="156" t="str">
        <f t="shared" si="18"/>
        <v/>
      </c>
      <c r="N66" s="156" t="str">
        <f t="shared" si="18"/>
        <v/>
      </c>
      <c r="O66" s="157"/>
      <c r="Q66" s="145" t="s">
        <v>439</v>
      </c>
      <c r="R66" s="145" t="str">
        <f>RSDTechsCE!B61</f>
        <v>R_ES-SH-DH-70_ELC05</v>
      </c>
      <c r="S66" s="145" t="str">
        <f>RSDTechsCE!C61&amp;" ("&amp;RSDTechsCE!D61&amp;")"</f>
        <v>Heat Pump Air-to-Water_SH-WH-SC (DH-70)</v>
      </c>
      <c r="T66" s="145" t="s">
        <v>31</v>
      </c>
      <c r="U66" s="145" t="s">
        <v>440</v>
      </c>
      <c r="X66" s="158"/>
    </row>
    <row r="67" spans="1:24" x14ac:dyDescent="0.25">
      <c r="A67" s="145" t="str">
        <f t="shared" si="0"/>
        <v>R_ES-SH-DH-70_ELC06</v>
      </c>
      <c r="B67" s="145" t="str">
        <f>RSDTechsCE!F62</f>
        <v>RSDELC</v>
      </c>
      <c r="C67" s="145" t="str">
        <f>IF(RSDTechsCE!G62="","",RSDTechsCE!G62)</f>
        <v>RSDGHT</v>
      </c>
      <c r="D67" s="145" t="str">
        <f>IF(RSDTechsCE!H62="","",RSDTechsCE!H62)</f>
        <v>R_ES-DH-70-SpHeat, R_ES-DH-Watheat</v>
      </c>
      <c r="E67" s="156">
        <v>2011</v>
      </c>
      <c r="F67" s="156">
        <f>RSDTechsCE!K62</f>
        <v>20</v>
      </c>
      <c r="G67" s="157">
        <v>1</v>
      </c>
      <c r="H67" s="156" t="str">
        <f t="shared" ref="H67:N67" si="19">IF(ISBLANK(H24),"",H24)</f>
        <v/>
      </c>
      <c r="I67" s="156" t="str">
        <f t="shared" si="19"/>
        <v/>
      </c>
      <c r="J67" s="156" t="str">
        <f t="shared" si="19"/>
        <v/>
      </c>
      <c r="K67" s="156">
        <f t="shared" si="19"/>
        <v>3</v>
      </c>
      <c r="L67" s="156" t="str">
        <f t="shared" si="19"/>
        <v/>
      </c>
      <c r="M67" s="156" t="str">
        <f t="shared" si="19"/>
        <v/>
      </c>
      <c r="N67" s="156" t="str">
        <f t="shared" si="19"/>
        <v/>
      </c>
      <c r="O67" s="157"/>
      <c r="Q67" s="145" t="s">
        <v>439</v>
      </c>
      <c r="R67" s="145" t="str">
        <f>RSDTechsCE!B62</f>
        <v>R_ES-SH-DH-70_ELC06</v>
      </c>
      <c r="S67" s="145" t="str">
        <f>RSDTechsCE!C62&amp;" ("&amp;RSDTechsCE!D62&amp;")"</f>
        <v>Heat Pump Ground Source Horizontal_SH-WH (DH-70)</v>
      </c>
      <c r="T67" s="145" t="s">
        <v>31</v>
      </c>
      <c r="U67" s="145" t="s">
        <v>440</v>
      </c>
      <c r="X67" s="158"/>
    </row>
    <row r="68" spans="1:24" x14ac:dyDescent="0.25">
      <c r="A68" s="145" t="str">
        <f t="shared" si="0"/>
        <v>R_ES-SH-DH-70_ELC07</v>
      </c>
      <c r="B68" s="145" t="str">
        <f>RSDTechsCE!F63</f>
        <v>RSDELC</v>
      </c>
      <c r="C68" s="145" t="str">
        <f>IF(RSDTechsCE!G63="","",RSDTechsCE!G63)</f>
        <v>RSDGHT</v>
      </c>
      <c r="D68" s="145" t="str">
        <f>IF(RSDTechsCE!H63="","",RSDTechsCE!H63)</f>
        <v>R_ES-DH-70-SpHeat, R_ES-DH-Watheat, R_ES-DH-SpCool</v>
      </c>
      <c r="E68" s="156">
        <v>2011</v>
      </c>
      <c r="F68" s="156">
        <f>RSDTechsCE!K63</f>
        <v>20</v>
      </c>
      <c r="G68" s="157">
        <v>1</v>
      </c>
      <c r="H68" s="156" t="str">
        <f t="shared" ref="H68:N68" si="20">IF(ISBLANK(H25),"",H25)</f>
        <v/>
      </c>
      <c r="I68" s="156" t="str">
        <f t="shared" si="20"/>
        <v/>
      </c>
      <c r="J68" s="156">
        <f t="shared" si="20"/>
        <v>5</v>
      </c>
      <c r="K68" s="156">
        <f t="shared" si="20"/>
        <v>3</v>
      </c>
      <c r="L68" s="156" t="str">
        <f t="shared" si="20"/>
        <v/>
      </c>
      <c r="M68" s="156" t="str">
        <f t="shared" si="20"/>
        <v/>
      </c>
      <c r="N68" s="156" t="str">
        <f t="shared" si="20"/>
        <v/>
      </c>
      <c r="O68" s="157"/>
      <c r="Q68" s="145" t="s">
        <v>439</v>
      </c>
      <c r="R68" s="145" t="str">
        <f>RSDTechsCE!B63</f>
        <v>R_ES-SH-DH-70_ELC07</v>
      </c>
      <c r="S68" s="145" t="str">
        <f>RSDTechsCE!C63&amp;" ("&amp;RSDTechsCE!D63&amp;")"</f>
        <v>Heat Pump Ground Source Horizontal_SH-WH-SC (DH-70)</v>
      </c>
      <c r="T68" s="145" t="s">
        <v>31</v>
      </c>
      <c r="U68" s="145" t="s">
        <v>440</v>
      </c>
      <c r="X68" s="158"/>
    </row>
    <row r="69" spans="1:24" x14ac:dyDescent="0.25">
      <c r="A69" s="145" t="str">
        <f t="shared" si="0"/>
        <v>R_ES-SH-DH-70_ELC08</v>
      </c>
      <c r="B69" s="145" t="str">
        <f>RSDTechsCE!F64</f>
        <v>RSDELC</v>
      </c>
      <c r="C69" s="145" t="str">
        <f>IF(RSDTechsCE!G64="","",RSDTechsCE!G64)</f>
        <v>RSDGHT</v>
      </c>
      <c r="D69" s="145" t="str">
        <f>IF(RSDTechsCE!H64="","",RSDTechsCE!H64)</f>
        <v>R_ES-DH-70-SpHeat, R_ES-DH-Watheat</v>
      </c>
      <c r="E69" s="156">
        <v>2011</v>
      </c>
      <c r="F69" s="156">
        <f>RSDTechsCE!K64</f>
        <v>20</v>
      </c>
      <c r="G69" s="157">
        <v>1</v>
      </c>
      <c r="H69" s="156" t="str">
        <f t="shared" ref="H69:N69" si="21">IF(ISBLANK(H26),"",H26)</f>
        <v/>
      </c>
      <c r="I69" s="156" t="str">
        <f t="shared" si="21"/>
        <v/>
      </c>
      <c r="J69" s="156" t="str">
        <f t="shared" si="21"/>
        <v/>
      </c>
      <c r="K69" s="156">
        <f t="shared" si="21"/>
        <v>3</v>
      </c>
      <c r="L69" s="156" t="str">
        <f t="shared" si="21"/>
        <v/>
      </c>
      <c r="M69" s="156" t="str">
        <f t="shared" si="21"/>
        <v/>
      </c>
      <c r="N69" s="156" t="str">
        <f t="shared" si="21"/>
        <v/>
      </c>
      <c r="O69" s="157"/>
      <c r="Q69" s="145" t="s">
        <v>439</v>
      </c>
      <c r="R69" s="145" t="str">
        <f>RSDTechsCE!B64</f>
        <v>R_ES-SH-DH-70_ELC08</v>
      </c>
      <c r="S69" s="145" t="str">
        <f>RSDTechsCE!C64&amp;" ("&amp;RSDTechsCE!D64&amp;")"</f>
        <v>Heat Pump Ground Source Vertical_SH-WH (DH-70)</v>
      </c>
      <c r="T69" s="145" t="s">
        <v>31</v>
      </c>
      <c r="U69" s="145" t="s">
        <v>440</v>
      </c>
      <c r="X69" s="158"/>
    </row>
    <row r="70" spans="1:24" x14ac:dyDescent="0.25">
      <c r="A70" s="145" t="str">
        <f t="shared" si="0"/>
        <v>R_ES-SH-DH-70_ELC09</v>
      </c>
      <c r="B70" s="145" t="str">
        <f>RSDTechsCE!F65</f>
        <v>RSDELC</v>
      </c>
      <c r="C70" s="145" t="str">
        <f>IF(RSDTechsCE!G65="","",RSDTechsCE!G65)</f>
        <v>RSDGHT</v>
      </c>
      <c r="D70" s="145" t="str">
        <f>IF(RSDTechsCE!H65="","",RSDTechsCE!H65)</f>
        <v>R_ES-DH-70-SpHeat, R_ES-DH-Watheat, R_ES-DH-SpCool</v>
      </c>
      <c r="E70" s="156">
        <v>2011</v>
      </c>
      <c r="F70" s="156">
        <f>RSDTechsCE!K65</f>
        <v>20</v>
      </c>
      <c r="G70" s="157">
        <v>1</v>
      </c>
      <c r="H70" s="156" t="str">
        <f t="shared" ref="H70:N70" si="22">IF(ISBLANK(H27),"",H27)</f>
        <v/>
      </c>
      <c r="I70" s="156" t="str">
        <f t="shared" si="22"/>
        <v/>
      </c>
      <c r="J70" s="156">
        <f t="shared" si="22"/>
        <v>5</v>
      </c>
      <c r="K70" s="156">
        <f t="shared" si="22"/>
        <v>3</v>
      </c>
      <c r="L70" s="156" t="str">
        <f t="shared" si="22"/>
        <v/>
      </c>
      <c r="M70" s="156" t="str">
        <f t="shared" si="22"/>
        <v/>
      </c>
      <c r="N70" s="156" t="str">
        <f t="shared" si="22"/>
        <v/>
      </c>
      <c r="O70" s="157"/>
      <c r="Q70" s="145" t="s">
        <v>439</v>
      </c>
      <c r="R70" s="145" t="str">
        <f>RSDTechsCE!B65</f>
        <v>R_ES-SH-DH-70_ELC09</v>
      </c>
      <c r="S70" s="145" t="str">
        <f>RSDTechsCE!C65&amp;" ("&amp;RSDTechsCE!D65&amp;")"</f>
        <v>Heat Pump Ground Source Vertical_SH-WH-SC (DH-70)</v>
      </c>
      <c r="T70" s="145" t="s">
        <v>31</v>
      </c>
      <c r="U70" s="145" t="s">
        <v>440</v>
      </c>
      <c r="X70" s="158"/>
    </row>
    <row r="71" spans="1:24" x14ac:dyDescent="0.25">
      <c r="A71" s="145" t="str">
        <f t="shared" si="0"/>
        <v>R_ES-SH-DH-70_ELC10</v>
      </c>
      <c r="B71" s="145" t="str">
        <f>RSDTechsCE!F66</f>
        <v>RSDELC</v>
      </c>
      <c r="C71" s="145" t="str">
        <f>IF(RSDTechsCE!G66="","",RSDTechsCE!G66)</f>
        <v>RSDGHT</v>
      </c>
      <c r="D71" s="145" t="str">
        <f>IF(RSDTechsCE!H66="","",RSDTechsCE!H66)</f>
        <v>R_ES-DH-70-SpHeat, R_ES-DH-Watheat</v>
      </c>
      <c r="E71" s="156">
        <v>2011</v>
      </c>
      <c r="F71" s="156">
        <f>RSDTechsCE!K66</f>
        <v>25</v>
      </c>
      <c r="G71" s="157">
        <v>1</v>
      </c>
      <c r="H71" s="156" t="str">
        <f t="shared" ref="H71:N71" si="23">IF(ISBLANK(H28),"",H28)</f>
        <v/>
      </c>
      <c r="I71" s="156" t="str">
        <f t="shared" si="23"/>
        <v/>
      </c>
      <c r="J71" s="156" t="str">
        <f t="shared" si="23"/>
        <v/>
      </c>
      <c r="K71" s="156">
        <f t="shared" si="23"/>
        <v>3.9279999999999999</v>
      </c>
      <c r="L71" s="156" t="str">
        <f t="shared" si="23"/>
        <v/>
      </c>
      <c r="M71" s="156" t="str">
        <f t="shared" si="23"/>
        <v/>
      </c>
      <c r="N71" s="156" t="str">
        <f t="shared" si="23"/>
        <v/>
      </c>
      <c r="O71" s="157"/>
      <c r="Q71" s="145" t="s">
        <v>439</v>
      </c>
      <c r="R71" s="145" t="str">
        <f>RSDTechsCE!B66</f>
        <v>R_ES-SH-DH-70_ELC10</v>
      </c>
      <c r="S71" s="145" t="str">
        <f>RSDTechsCE!C66&amp;" ("&amp;RSDTechsCE!D66&amp;")"</f>
        <v>Heat Pump Groundwater_SH-WH (DH-70)</v>
      </c>
      <c r="T71" s="145" t="s">
        <v>31</v>
      </c>
      <c r="U71" s="145" t="s">
        <v>440</v>
      </c>
      <c r="X71" s="158"/>
    </row>
    <row r="72" spans="1:24" x14ac:dyDescent="0.25">
      <c r="A72" s="159" t="str">
        <f t="shared" si="0"/>
        <v>R_ES-SH-DH-70_ELC11</v>
      </c>
      <c r="B72" s="159" t="str">
        <f>RSDTechsCE!F67</f>
        <v>RSDELC</v>
      </c>
      <c r="C72" s="159" t="str">
        <f>IF(RSDTechsCE!G67="","",RSDTechsCE!G67)</f>
        <v>RSDGHT</v>
      </c>
      <c r="D72" s="159" t="str">
        <f>IF(RSDTechsCE!H67="","",RSDTechsCE!H67)</f>
        <v>R_ES-DH-70-SpHeat, R_ES-DH-Watheat, R_ES-DH-SpCool</v>
      </c>
      <c r="E72" s="160">
        <v>2011</v>
      </c>
      <c r="F72" s="160">
        <f>RSDTechsCE!K67</f>
        <v>25</v>
      </c>
      <c r="G72" s="161">
        <v>1</v>
      </c>
      <c r="H72" s="160" t="str">
        <f t="shared" ref="H72:N72" si="24">IF(ISBLANK(H29),"",H29)</f>
        <v/>
      </c>
      <c r="I72" s="160" t="str">
        <f t="shared" si="24"/>
        <v/>
      </c>
      <c r="J72" s="160">
        <f t="shared" si="24"/>
        <v>5</v>
      </c>
      <c r="K72" s="160">
        <f t="shared" si="24"/>
        <v>3.9279999999999999</v>
      </c>
      <c r="L72" s="160" t="str">
        <f t="shared" si="24"/>
        <v/>
      </c>
      <c r="M72" s="160" t="str">
        <f t="shared" si="24"/>
        <v/>
      </c>
      <c r="N72" s="160" t="str">
        <f t="shared" si="24"/>
        <v/>
      </c>
      <c r="O72" s="161"/>
      <c r="Q72" s="159" t="s">
        <v>439</v>
      </c>
      <c r="R72" s="159" t="str">
        <f>RSDTechsCE!B67</f>
        <v>R_ES-SH-DH-70_ELC11</v>
      </c>
      <c r="S72" s="159" t="str">
        <f>RSDTechsCE!C67&amp;" ("&amp;RSDTechsCE!D67&amp;")"</f>
        <v>Heat Pump Groundwater_SH-WH-SC (DH-70)</v>
      </c>
      <c r="T72" s="159" t="s">
        <v>31</v>
      </c>
      <c r="U72" s="159" t="s">
        <v>440</v>
      </c>
      <c r="V72" s="159"/>
      <c r="W72" s="159"/>
      <c r="X72" s="162"/>
    </row>
    <row r="73" spans="1:24" x14ac:dyDescent="0.25">
      <c r="A73" s="145" t="str">
        <f t="shared" si="0"/>
        <v>R_ES-SH-DH-70_GAS03</v>
      </c>
      <c r="B73" s="145" t="str">
        <f>RSDTechsCE!F68</f>
        <v>RSDGAS, RSDLPG, RSDBGS</v>
      </c>
      <c r="C73" s="145" t="str">
        <f>IF(RSDTechsCE!G68="","",RSDTechsCE!G68)</f>
        <v>RSDAHT</v>
      </c>
      <c r="D73" s="145" t="str">
        <f>IF(RSDTechsCE!H68="","",RSDTechsCE!H68)</f>
        <v>R_ES-DH-70-SpHeat, R_ES-DH-Watheat</v>
      </c>
      <c r="E73" s="156">
        <v>2011</v>
      </c>
      <c r="F73" s="156">
        <f>RSDTechsCE!K68</f>
        <v>22</v>
      </c>
      <c r="G73" s="157">
        <v>1</v>
      </c>
      <c r="H73" s="156" t="str">
        <f t="shared" ref="H73:N73" si="25">IF(ISBLANK(H30),"",H30)</f>
        <v/>
      </c>
      <c r="I73" s="156" t="str">
        <f t="shared" si="25"/>
        <v/>
      </c>
      <c r="J73" s="156" t="str">
        <f t="shared" si="25"/>
        <v/>
      </c>
      <c r="K73" s="156">
        <f t="shared" si="25"/>
        <v>1.7</v>
      </c>
      <c r="L73" s="156" t="str">
        <f t="shared" si="25"/>
        <v/>
      </c>
      <c r="M73" s="156" t="str">
        <f t="shared" si="25"/>
        <v/>
      </c>
      <c r="N73" s="156" t="str">
        <f t="shared" si="25"/>
        <v/>
      </c>
      <c r="O73" s="157"/>
      <c r="Q73" s="145" t="s">
        <v>439</v>
      </c>
      <c r="R73" s="145" t="str">
        <f>RSDTechsCE!B68</f>
        <v>R_ES-SH-DH-70_GAS03</v>
      </c>
      <c r="S73" s="145" t="str">
        <f>RSDTechsCE!C68&amp;" ("&amp;RSDTechsCE!D68&amp;")"</f>
        <v>Gas/LPG-driven Heat Pump absorption Air-to-Water_SH-WH (DH-70)</v>
      </c>
      <c r="T73" s="145" t="s">
        <v>31</v>
      </c>
      <c r="U73" s="145" t="s">
        <v>440</v>
      </c>
      <c r="X73" s="158"/>
    </row>
    <row r="74" spans="1:24" x14ac:dyDescent="0.25">
      <c r="A74" s="145" t="str">
        <f t="shared" si="0"/>
        <v>R_ES-SH-DH-70_GAS04</v>
      </c>
      <c r="B74" s="145" t="str">
        <f>RSDTechsCE!F69</f>
        <v>RSDGAS, RSDLPG, RSDBGS</v>
      </c>
      <c r="C74" s="145" t="str">
        <f>IF(RSDTechsCE!G69="","",RSDTechsCE!G69)</f>
        <v>RSDAHT</v>
      </c>
      <c r="D74" s="145" t="str">
        <f>IF(RSDTechsCE!H69="","",RSDTechsCE!H69)</f>
        <v>R_ES-DH-70-SpHeat, R_ES-DH-Watheat, R_ES-DH-SpCool</v>
      </c>
      <c r="E74" s="156">
        <v>2011</v>
      </c>
      <c r="F74" s="156">
        <f>RSDTechsCE!K69</f>
        <v>22</v>
      </c>
      <c r="G74" s="157">
        <v>1</v>
      </c>
      <c r="H74" s="156" t="str">
        <f t="shared" ref="H74:N74" si="26">IF(ISBLANK(H31),"",H31)</f>
        <v/>
      </c>
      <c r="I74" s="156" t="str">
        <f t="shared" si="26"/>
        <v/>
      </c>
      <c r="J74" s="156">
        <f t="shared" si="26"/>
        <v>3</v>
      </c>
      <c r="K74" s="156">
        <f t="shared" si="26"/>
        <v>1.7</v>
      </c>
      <c r="L74" s="156" t="str">
        <f t="shared" si="26"/>
        <v/>
      </c>
      <c r="M74" s="156" t="str">
        <f t="shared" si="26"/>
        <v/>
      </c>
      <c r="N74" s="156" t="str">
        <f t="shared" si="26"/>
        <v/>
      </c>
      <c r="O74" s="157"/>
      <c r="Q74" s="145" t="s">
        <v>439</v>
      </c>
      <c r="R74" s="145" t="str">
        <f>RSDTechsCE!B69</f>
        <v>R_ES-SH-DH-70_GAS04</v>
      </c>
      <c r="S74" s="145" t="str">
        <f>RSDTechsCE!C69&amp;" ("&amp;RSDTechsCE!D69&amp;")"</f>
        <v>Gas/LPG-driven Heat Pump absorption Air-to-Water_SH-WH-SC (DH-70)</v>
      </c>
      <c r="T74" s="145" t="s">
        <v>31</v>
      </c>
      <c r="U74" s="145" t="s">
        <v>440</v>
      </c>
      <c r="X74" s="158"/>
    </row>
    <row r="75" spans="1:24" x14ac:dyDescent="0.25">
      <c r="A75" s="145" t="str">
        <f t="shared" si="0"/>
        <v>R_ES-SH-DH-70_GAS05</v>
      </c>
      <c r="B75" s="145" t="str">
        <f>RSDTechsCE!F70</f>
        <v>RSDGAS, RSDLPG, RSDBGS</v>
      </c>
      <c r="C75" s="145" t="str">
        <f>IF(RSDTechsCE!G70="","",RSDTechsCE!G70)</f>
        <v>RSDAHT</v>
      </c>
      <c r="D75" s="145" t="str">
        <f>IF(RSDTechsCE!H70="","",RSDTechsCE!H70)</f>
        <v>R_ES-DH-70-SpHeat, R_ES-DH-Watheat</v>
      </c>
      <c r="E75" s="156">
        <v>2011</v>
      </c>
      <c r="F75" s="156">
        <f>RSDTechsCE!K70</f>
        <v>20</v>
      </c>
      <c r="G75" s="157">
        <v>1</v>
      </c>
      <c r="H75" s="156" t="str">
        <f t="shared" ref="H75:N75" si="27">IF(ISBLANK(H32),"",H32)</f>
        <v/>
      </c>
      <c r="I75" s="156" t="str">
        <f t="shared" si="27"/>
        <v/>
      </c>
      <c r="J75" s="156" t="str">
        <f t="shared" si="27"/>
        <v/>
      </c>
      <c r="K75" s="156">
        <f t="shared" si="27"/>
        <v>1.1200000000000001</v>
      </c>
      <c r="L75" s="156" t="str">
        <f t="shared" si="27"/>
        <v/>
      </c>
      <c r="M75" s="156" t="str">
        <f t="shared" si="27"/>
        <v/>
      </c>
      <c r="N75" s="156" t="str">
        <f t="shared" si="27"/>
        <v/>
      </c>
      <c r="O75" s="157"/>
      <c r="Q75" s="145" t="s">
        <v>439</v>
      </c>
      <c r="R75" s="145" t="str">
        <f>RSDTechsCE!B70</f>
        <v>R_ES-SH-DH-70_GAS05</v>
      </c>
      <c r="S75" s="145" t="str">
        <f>RSDTechsCE!C70&amp;" ("&amp;RSDTechsCE!D70&amp;")"</f>
        <v>Gas/LPG-driven Heat Pump absorption brine to water + Solar th collectors_SH-WH (DH-70)</v>
      </c>
      <c r="T75" s="145" t="s">
        <v>31</v>
      </c>
      <c r="U75" s="145" t="s">
        <v>440</v>
      </c>
      <c r="X75" s="158"/>
    </row>
    <row r="76" spans="1:24" x14ac:dyDescent="0.25">
      <c r="A76" s="145" t="str">
        <f t="shared" ref="A76:A147" si="28">R76</f>
        <v>R_ES-SH-DH-70_GAS06</v>
      </c>
      <c r="B76" s="145" t="str">
        <f>RSDTechsCE!F71</f>
        <v>RSDGAS, RSDLPG, RSDBGS</v>
      </c>
      <c r="C76" s="145" t="str">
        <f>IF(RSDTechsCE!G71="","",RSDTechsCE!G71)</f>
        <v>RSDAHT</v>
      </c>
      <c r="D76" s="145" t="str">
        <f>IF(RSDTechsCE!H71="","",RSDTechsCE!H71)</f>
        <v>R_ES-DH-70-SpHeat, R_ES-DH-Watheat, R_ES-DH-SpCool</v>
      </c>
      <c r="E76" s="156">
        <v>2011</v>
      </c>
      <c r="F76" s="156">
        <f>RSDTechsCE!K71</f>
        <v>20</v>
      </c>
      <c r="G76" s="157">
        <v>1</v>
      </c>
      <c r="H76" s="156" t="str">
        <f t="shared" ref="H76:N76" si="29">IF(ISBLANK(H33),"",H33)</f>
        <v/>
      </c>
      <c r="I76" s="156" t="str">
        <f t="shared" si="29"/>
        <v/>
      </c>
      <c r="J76" s="156">
        <f t="shared" si="29"/>
        <v>3</v>
      </c>
      <c r="K76" s="156">
        <f t="shared" si="29"/>
        <v>1.1200000000000001</v>
      </c>
      <c r="L76" s="156" t="str">
        <f t="shared" si="29"/>
        <v/>
      </c>
      <c r="M76" s="156" t="str">
        <f t="shared" si="29"/>
        <v/>
      </c>
      <c r="N76" s="156" t="str">
        <f t="shared" si="29"/>
        <v/>
      </c>
      <c r="O76" s="157"/>
      <c r="Q76" s="145" t="s">
        <v>439</v>
      </c>
      <c r="R76" s="145" t="str">
        <f>RSDTechsCE!B71</f>
        <v>R_ES-SH-DH-70_GAS06</v>
      </c>
      <c r="S76" s="145" t="str">
        <f>RSDTechsCE!C71&amp;" ("&amp;RSDTechsCE!D71&amp;")"</f>
        <v>Gas/LPG-driven Heat Pump absorption brine to water + Solar th collectors_SH-WH-SC (DH-70)</v>
      </c>
      <c r="T76" s="145" t="s">
        <v>31</v>
      </c>
      <c r="U76" s="145" t="s">
        <v>440</v>
      </c>
      <c r="X76" s="158"/>
    </row>
    <row r="77" spans="1:24" x14ac:dyDescent="0.25">
      <c r="A77" s="145" t="str">
        <f t="shared" si="28"/>
        <v>R_ES-SH-DH-70_GAS07</v>
      </c>
      <c r="B77" s="145" t="str">
        <f>RSDTechsCE!F72</f>
        <v>RSDGAS, RSDLPG, RSDBGS</v>
      </c>
      <c r="C77" s="145" t="str">
        <f>IF(RSDTechsCE!G72="","",RSDTechsCE!G72)</f>
        <v>RSDAHT</v>
      </c>
      <c r="D77" s="145" t="str">
        <f>IF(RSDTechsCE!H72="","",RSDTechsCE!H72)</f>
        <v>R_ES-DH-70-SpHeat, R_ES-DH-Watheat</v>
      </c>
      <c r="E77" s="156">
        <v>2011</v>
      </c>
      <c r="F77" s="156">
        <f>RSDTechsCE!K72</f>
        <v>20</v>
      </c>
      <c r="G77" s="157">
        <v>1</v>
      </c>
      <c r="H77" s="156" t="str">
        <f t="shared" ref="H77:N77" si="30">IF(ISBLANK(H34),"",H34)</f>
        <v/>
      </c>
      <c r="I77" s="156" t="str">
        <f t="shared" si="30"/>
        <v/>
      </c>
      <c r="J77" s="156" t="str">
        <f t="shared" si="30"/>
        <v/>
      </c>
      <c r="K77" s="156">
        <f t="shared" si="30"/>
        <v>1.55</v>
      </c>
      <c r="L77" s="156" t="str">
        <f t="shared" si="30"/>
        <v/>
      </c>
      <c r="M77" s="156" t="str">
        <f t="shared" si="30"/>
        <v/>
      </c>
      <c r="N77" s="156" t="str">
        <f t="shared" si="30"/>
        <v/>
      </c>
      <c r="O77" s="157"/>
      <c r="Q77" s="145" t="s">
        <v>439</v>
      </c>
      <c r="R77" s="145" t="str">
        <f>RSDTechsCE!B72</f>
        <v>R_ES-SH-DH-70_GAS07</v>
      </c>
      <c r="S77" s="145" t="str">
        <f>RSDTechsCE!C72&amp;" ("&amp;RSDTechsCE!D72&amp;")"</f>
        <v>Gas/LPG-driven Heat Pump engine Air-to-Water_SH-WH (DH-70)</v>
      </c>
      <c r="T77" s="145" t="s">
        <v>31</v>
      </c>
      <c r="U77" s="145" t="s">
        <v>440</v>
      </c>
      <c r="X77" s="158"/>
    </row>
    <row r="78" spans="1:24" x14ac:dyDescent="0.25">
      <c r="A78" s="159" t="str">
        <f t="shared" si="28"/>
        <v>R_ES-SH-DH-70_GAS08</v>
      </c>
      <c r="B78" s="159" t="str">
        <f>RSDTechsCE!F73</f>
        <v>RSDGAS, RSDLPG, RSDBGS</v>
      </c>
      <c r="C78" s="159" t="str">
        <f>IF(RSDTechsCE!G73="","",RSDTechsCE!G73)</f>
        <v>RSDAHT</v>
      </c>
      <c r="D78" s="159" t="str">
        <f>IF(RSDTechsCE!H73="","",RSDTechsCE!H73)</f>
        <v>R_ES-DH-70-SpHeat, R_ES-DH-Watheat, R_ES-DH-SpCool</v>
      </c>
      <c r="E78" s="160">
        <v>2011</v>
      </c>
      <c r="F78" s="160">
        <f>RSDTechsCE!K73</f>
        <v>20</v>
      </c>
      <c r="G78" s="161">
        <v>1</v>
      </c>
      <c r="H78" s="160" t="str">
        <f t="shared" ref="H78:N78" si="31">IF(ISBLANK(H35),"",H35)</f>
        <v/>
      </c>
      <c r="I78" s="160" t="str">
        <f t="shared" si="31"/>
        <v/>
      </c>
      <c r="J78" s="160">
        <f t="shared" si="31"/>
        <v>3</v>
      </c>
      <c r="K78" s="160">
        <f t="shared" si="31"/>
        <v>1.55</v>
      </c>
      <c r="L78" s="160" t="str">
        <f t="shared" si="31"/>
        <v/>
      </c>
      <c r="M78" s="160" t="str">
        <f t="shared" si="31"/>
        <v/>
      </c>
      <c r="N78" s="160" t="str">
        <f t="shared" si="31"/>
        <v/>
      </c>
      <c r="O78" s="161"/>
      <c r="Q78" s="159" t="s">
        <v>439</v>
      </c>
      <c r="R78" s="159" t="str">
        <f>RSDTechsCE!B73</f>
        <v>R_ES-SH-DH-70_GAS08</v>
      </c>
      <c r="S78" s="159" t="str">
        <f>RSDTechsCE!C73&amp;" ("&amp;RSDTechsCE!D73&amp;")"</f>
        <v>Gas/LPG-driven Heat Pump engine Air-to-Water_SH-WH-SC (DH-70)</v>
      </c>
      <c r="T78" s="159" t="s">
        <v>31</v>
      </c>
      <c r="U78" s="159" t="s">
        <v>440</v>
      </c>
      <c r="V78" s="159"/>
      <c r="W78" s="159"/>
      <c r="X78" s="162"/>
    </row>
    <row r="79" spans="1:24" x14ac:dyDescent="0.25">
      <c r="A79" s="145" t="str">
        <f t="shared" si="28"/>
        <v>R_ES-CHP-DH-70_GAS01</v>
      </c>
      <c r="B79" s="145" t="str">
        <f>RSDTechsCE!F74</f>
        <v>RSDGAS, RSDLPG, RSDBGS</v>
      </c>
      <c r="C79" s="145" t="str">
        <f>IF(RSDTechsCE!G74="","",RSDTechsCE!G74)</f>
        <v/>
      </c>
      <c r="D79" s="145" t="str">
        <f>IF(RSDTechsCE!H74="","",RSDTechsCE!H74)</f>
        <v>RSDELC, R_ES-DH-70-SpHeat,R_ES-DH-Watheat</v>
      </c>
      <c r="E79" s="156">
        <v>2011</v>
      </c>
      <c r="F79" s="156">
        <f>RSDTechsCE!K74</f>
        <v>10</v>
      </c>
      <c r="G79" s="157">
        <v>1</v>
      </c>
      <c r="H79" s="156">
        <f t="shared" ref="H79:N79" si="32">IF(ISBLANK(H36),"",H36)</f>
        <v>0.26</v>
      </c>
      <c r="I79" s="156" t="str">
        <f t="shared" si="32"/>
        <v/>
      </c>
      <c r="J79" s="156" t="str">
        <f t="shared" si="32"/>
        <v/>
      </c>
      <c r="K79" s="156" t="str">
        <f t="shared" si="32"/>
        <v/>
      </c>
      <c r="L79" s="156">
        <f t="shared" si="32"/>
        <v>2.4615384615384617</v>
      </c>
      <c r="M79" s="156">
        <f t="shared" si="32"/>
        <v>2.4615384615384617</v>
      </c>
      <c r="N79" s="156">
        <f t="shared" si="32"/>
        <v>2.4615384615384617</v>
      </c>
      <c r="O79" s="157"/>
      <c r="Q79" s="145" t="s">
        <v>388</v>
      </c>
      <c r="R79" s="145" t="str">
        <f>RSDTechsCE!B74</f>
        <v>R_ES-CHP-DH-70_GAS01</v>
      </c>
      <c r="S79" s="145" t="str">
        <f>RSDTechsCE!C74&amp;" ("&amp;RSDTechsCE!D74&amp;")"</f>
        <v>CHP engines – Natural Gas micro turbine  (DH-70)</v>
      </c>
      <c r="T79" s="145" t="s">
        <v>31</v>
      </c>
      <c r="U79" s="145" t="s">
        <v>440</v>
      </c>
      <c r="X79" s="158"/>
    </row>
    <row r="80" spans="1:24" x14ac:dyDescent="0.25">
      <c r="A80" s="145" t="str">
        <f t="shared" si="28"/>
        <v>R_ES-CHP-DH-70_OIL01</v>
      </c>
      <c r="B80" s="145" t="str">
        <f>RSDTechsCE!F75</f>
        <v>RSDOIL, RSDBDL</v>
      </c>
      <c r="C80" s="145" t="str">
        <f>IF(RSDTechsCE!G75="","",RSDTechsCE!G75)</f>
        <v/>
      </c>
      <c r="D80" s="145" t="str">
        <f>IF(RSDTechsCE!H75="","",RSDTechsCE!H75)</f>
        <v>RSDELC, R_ES-DH-70-SpHeat,R_ES-DH-Watheat</v>
      </c>
      <c r="E80" s="156">
        <v>2011</v>
      </c>
      <c r="F80" s="156">
        <f>RSDTechsCE!K75</f>
        <v>10</v>
      </c>
      <c r="G80" s="157">
        <v>1</v>
      </c>
      <c r="H80" s="156">
        <f t="shared" ref="H80:N80" si="33">IF(ISBLANK(H37),"",H37)</f>
        <v>0.26</v>
      </c>
      <c r="I80" s="156" t="str">
        <f t="shared" si="33"/>
        <v/>
      </c>
      <c r="J80" s="156" t="str">
        <f t="shared" si="33"/>
        <v/>
      </c>
      <c r="K80" s="156" t="str">
        <f t="shared" si="33"/>
        <v/>
      </c>
      <c r="L80" s="156">
        <f t="shared" si="33"/>
        <v>2.4615384615384617</v>
      </c>
      <c r="M80" s="156">
        <f t="shared" si="33"/>
        <v>2.4615384615384617</v>
      </c>
      <c r="N80" s="156">
        <f t="shared" si="33"/>
        <v>2.4615384615384617</v>
      </c>
      <c r="O80" s="157"/>
      <c r="Q80" s="145" t="s">
        <v>388</v>
      </c>
      <c r="R80" s="145" t="str">
        <f>RSDTechsCE!B75</f>
        <v>R_ES-CHP-DH-70_OIL01</v>
      </c>
      <c r="S80" s="145" t="str">
        <f>RSDTechsCE!C75&amp;" ("&amp;RSDTechsCE!D75&amp;")"</f>
        <v>CHP engines – Diesel micro turbine  (DH-70)</v>
      </c>
      <c r="T80" s="145" t="s">
        <v>31</v>
      </c>
      <c r="U80" s="145" t="s">
        <v>440</v>
      </c>
      <c r="X80" s="158"/>
    </row>
    <row r="81" spans="1:24" x14ac:dyDescent="0.25">
      <c r="A81" s="145" t="str">
        <f t="shared" si="28"/>
        <v>R_ES-CHP-DH-70_GAS02</v>
      </c>
      <c r="B81" s="145" t="str">
        <f>RSDTechsCE!F76</f>
        <v>RSDGAS, RSDLPG, RSDBGS</v>
      </c>
      <c r="C81" s="145" t="str">
        <f>IF(RSDTechsCE!G76="","",RSDTechsCE!G76)</f>
        <v/>
      </c>
      <c r="D81" s="145" t="str">
        <f>IF(RSDTechsCE!H76="","",RSDTechsCE!H76)</f>
        <v>RSDELC, R_ES-DH-70-SpHeat,R_ES-DH-Watheat</v>
      </c>
      <c r="E81" s="156">
        <v>2011</v>
      </c>
      <c r="F81" s="156">
        <f>RSDTechsCE!K76</f>
        <v>10</v>
      </c>
      <c r="G81" s="157">
        <v>1</v>
      </c>
      <c r="H81" s="156">
        <f t="shared" ref="H81:N81" si="34">IF(ISBLANK(H38),"",H38)</f>
        <v>0.2</v>
      </c>
      <c r="I81" s="156" t="str">
        <f t="shared" si="34"/>
        <v/>
      </c>
      <c r="J81" s="156" t="str">
        <f t="shared" si="34"/>
        <v/>
      </c>
      <c r="K81" s="156" t="str">
        <f t="shared" si="34"/>
        <v/>
      </c>
      <c r="L81" s="156">
        <f t="shared" si="34"/>
        <v>2.25</v>
      </c>
      <c r="M81" s="156">
        <f t="shared" si="34"/>
        <v>2.1818181818181817</v>
      </c>
      <c r="N81" s="156">
        <f t="shared" si="34"/>
        <v>1.9</v>
      </c>
      <c r="O81" s="157"/>
      <c r="Q81" s="145" t="s">
        <v>388</v>
      </c>
      <c r="R81" s="145" t="str">
        <f>RSDTechsCE!B76</f>
        <v>R_ES-CHP-DH-70_GAS02</v>
      </c>
      <c r="S81" s="145" t="str">
        <f>RSDTechsCE!C76&amp;" ("&amp;RSDTechsCE!D76&amp;")"</f>
        <v>CHP engines – Natural Gas internal combustion engine (DH-70)</v>
      </c>
      <c r="T81" s="145" t="s">
        <v>31</v>
      </c>
      <c r="U81" s="145" t="s">
        <v>440</v>
      </c>
      <c r="X81" s="158"/>
    </row>
    <row r="82" spans="1:24" x14ac:dyDescent="0.25">
      <c r="A82" s="145" t="str">
        <f t="shared" si="28"/>
        <v>R_ES-CHP-DH-70_OIL02</v>
      </c>
      <c r="B82" s="145" t="str">
        <f>RSDTechsCE!F77</f>
        <v>RSDOIL, RSDBDL</v>
      </c>
      <c r="C82" s="145" t="str">
        <f>IF(RSDTechsCE!G77="","",RSDTechsCE!G77)</f>
        <v/>
      </c>
      <c r="D82" s="145" t="str">
        <f>IF(RSDTechsCE!H77="","",RSDTechsCE!H77)</f>
        <v>RSDELC, R_ES-DH-70-SpHeat,R_ES-DH-Watheat</v>
      </c>
      <c r="E82" s="156">
        <v>2011</v>
      </c>
      <c r="F82" s="156">
        <f>RSDTechsCE!K77</f>
        <v>10</v>
      </c>
      <c r="G82" s="157">
        <v>1</v>
      </c>
      <c r="H82" s="156">
        <f t="shared" ref="H82:N82" si="35">IF(ISBLANK(H39),"",H39)</f>
        <v>0.2</v>
      </c>
      <c r="I82" s="156" t="str">
        <f t="shared" si="35"/>
        <v/>
      </c>
      <c r="J82" s="156" t="str">
        <f t="shared" si="35"/>
        <v/>
      </c>
      <c r="K82" s="156" t="str">
        <f t="shared" si="35"/>
        <v/>
      </c>
      <c r="L82" s="156">
        <f t="shared" si="35"/>
        <v>2.25</v>
      </c>
      <c r="M82" s="156">
        <f t="shared" si="35"/>
        <v>2.1818181818181817</v>
      </c>
      <c r="N82" s="156">
        <f t="shared" si="35"/>
        <v>1.9</v>
      </c>
      <c r="O82" s="157"/>
      <c r="Q82" s="145" t="s">
        <v>388</v>
      </c>
      <c r="R82" s="145" t="str">
        <f>RSDTechsCE!B77</f>
        <v>R_ES-CHP-DH-70_OIL02</v>
      </c>
      <c r="S82" s="145" t="str">
        <f>RSDTechsCE!C77&amp;" ("&amp;RSDTechsCE!D77&amp;")"</f>
        <v>CHP engines – Diesel internal combustion engine  (DH-70)</v>
      </c>
      <c r="T82" s="145" t="s">
        <v>31</v>
      </c>
      <c r="U82" s="145" t="s">
        <v>440</v>
      </c>
      <c r="X82" s="158"/>
    </row>
    <row r="83" spans="1:24" x14ac:dyDescent="0.25">
      <c r="A83" s="145" t="str">
        <f t="shared" si="28"/>
        <v>R_ES-CHP-DH-70_GAS03</v>
      </c>
      <c r="B83" s="145" t="str">
        <f>RSDTechsCE!F78</f>
        <v>RSDGAS, RSDLPG, RSDBGS</v>
      </c>
      <c r="C83" s="145" t="str">
        <f>IF(RSDTechsCE!G78="","",RSDTechsCE!G78)</f>
        <v/>
      </c>
      <c r="D83" s="145" t="str">
        <f>IF(RSDTechsCE!H78="","",RSDTechsCE!H78)</f>
        <v>RSDELC, R_ES-DH-70-SpHeat,R_ES-DH-Watheat</v>
      </c>
      <c r="E83" s="156">
        <v>2011</v>
      </c>
      <c r="F83" s="156">
        <f>RSDTechsCE!K78</f>
        <v>10</v>
      </c>
      <c r="G83" s="157">
        <v>1</v>
      </c>
      <c r="H83" s="156">
        <f t="shared" ref="H83:N83" si="36">IF(ISBLANK(H40),"",H40)</f>
        <v>0.12</v>
      </c>
      <c r="I83" s="156" t="str">
        <f t="shared" si="36"/>
        <v/>
      </c>
      <c r="J83" s="156" t="str">
        <f t="shared" si="36"/>
        <v/>
      </c>
      <c r="K83" s="156" t="str">
        <f t="shared" si="36"/>
        <v/>
      </c>
      <c r="L83" s="156">
        <f t="shared" si="36"/>
        <v>5.4583333333333339</v>
      </c>
      <c r="M83" s="156">
        <f t="shared" si="36"/>
        <v>4.7142857142857144</v>
      </c>
      <c r="N83" s="156">
        <f t="shared" si="36"/>
        <v>4.1562499999999991</v>
      </c>
      <c r="O83" s="157"/>
      <c r="Q83" s="145" t="s">
        <v>388</v>
      </c>
      <c r="R83" s="145" t="str">
        <f>RSDTechsCE!B78</f>
        <v>R_ES-CHP-DH-70_GAS03</v>
      </c>
      <c r="S83" s="145" t="str">
        <f>RSDTechsCE!C78&amp;" ("&amp;RSDTechsCE!D78&amp;")"</f>
        <v>CHP engines – Stirling engine (DH-70)</v>
      </c>
      <c r="T83" s="145" t="s">
        <v>31</v>
      </c>
      <c r="U83" s="145" t="s">
        <v>440</v>
      </c>
      <c r="X83" s="158"/>
    </row>
    <row r="84" spans="1:24" x14ac:dyDescent="0.25">
      <c r="A84" s="145" t="str">
        <f t="shared" si="28"/>
        <v>R_ES-CHP-DH-70_GAS04</v>
      </c>
      <c r="B84" s="145" t="str">
        <f>RSDTechsCE!F79</f>
        <v>RSDGAS</v>
      </c>
      <c r="C84" s="145" t="str">
        <f>IF(RSDTechsCE!G79="","",RSDTechsCE!G79)</f>
        <v/>
      </c>
      <c r="D84" s="145" t="str">
        <f>IF(RSDTechsCE!H79="","",RSDTechsCE!H79)</f>
        <v>RSDELC, R_ES-DH-70-SpHeat,R_ES-DH-Watheat</v>
      </c>
      <c r="E84" s="156">
        <v>2011</v>
      </c>
      <c r="F84" s="156">
        <f>RSDTechsCE!K79</f>
        <v>10</v>
      </c>
      <c r="G84" s="157">
        <v>1</v>
      </c>
      <c r="H84" s="156">
        <f t="shared" ref="H84:N84" si="37">IF(ISBLANK(H41),"",H41)</f>
        <v>0.375</v>
      </c>
      <c r="I84" s="156" t="str">
        <f t="shared" si="37"/>
        <v/>
      </c>
      <c r="J84" s="156" t="str">
        <f t="shared" si="37"/>
        <v/>
      </c>
      <c r="K84" s="156" t="str">
        <f t="shared" si="37"/>
        <v/>
      </c>
      <c r="L84" s="156">
        <f t="shared" si="37"/>
        <v>0.46666666666666679</v>
      </c>
      <c r="M84" s="156">
        <f t="shared" si="37"/>
        <v>0.16666666666666669</v>
      </c>
      <c r="N84" s="156">
        <f t="shared" si="37"/>
        <v>0.10526315789473695</v>
      </c>
      <c r="O84" s="157"/>
      <c r="Q84" s="145" t="s">
        <v>388</v>
      </c>
      <c r="R84" s="145" t="str">
        <f>RSDTechsCE!B79</f>
        <v>R_ES-CHP-DH-70_GAS04</v>
      </c>
      <c r="S84" s="145" t="str">
        <f>RSDTechsCE!C79&amp;" ("&amp;RSDTechsCE!D79&amp;")"</f>
        <v>CHP fuel cells – Natural Gas fuel cell (DH-70)</v>
      </c>
      <c r="T84" s="145" t="s">
        <v>31</v>
      </c>
      <c r="U84" s="145" t="s">
        <v>440</v>
      </c>
      <c r="X84" s="158"/>
    </row>
    <row r="85" spans="1:24" x14ac:dyDescent="0.25">
      <c r="A85" s="145" t="str">
        <f t="shared" si="28"/>
        <v>R_ES-CHP-DH-70_HH201</v>
      </c>
      <c r="B85" s="145" t="str">
        <f>RSDTechsCE!F80</f>
        <v>RSDHH2</v>
      </c>
      <c r="C85" s="145" t="str">
        <f>IF(RSDTechsCE!G80="","",RSDTechsCE!G80)</f>
        <v/>
      </c>
      <c r="D85" s="145" t="str">
        <f>IF(RSDTechsCE!H80="","",RSDTechsCE!H80)</f>
        <v>RSDELC, R_ES-DH-70-SpHeat,R_ES-DH-Watheat</v>
      </c>
      <c r="E85" s="156">
        <v>2011</v>
      </c>
      <c r="F85" s="156">
        <f>RSDTechsCE!K80</f>
        <v>10</v>
      </c>
      <c r="G85" s="157">
        <v>1</v>
      </c>
      <c r="H85" s="156">
        <f t="shared" ref="H85:N85" si="38">IF(ISBLANK(H42),"",H42)</f>
        <v>0.47499999999999998</v>
      </c>
      <c r="I85" s="156" t="str">
        <f t="shared" si="38"/>
        <v/>
      </c>
      <c r="J85" s="156" t="str">
        <f t="shared" si="38"/>
        <v/>
      </c>
      <c r="K85" s="156" t="str">
        <f t="shared" si="38"/>
        <v/>
      </c>
      <c r="L85" s="156">
        <f t="shared" si="38"/>
        <v>0.84</v>
      </c>
      <c r="M85" s="156">
        <f t="shared" si="38"/>
        <v>0.84</v>
      </c>
      <c r="N85" s="156">
        <f t="shared" si="38"/>
        <v>0.84</v>
      </c>
      <c r="O85" s="157"/>
      <c r="Q85" s="145" t="s">
        <v>388</v>
      </c>
      <c r="R85" s="145" t="str">
        <f>RSDTechsCE!B80</f>
        <v>R_ES-CHP-DH-70_HH201</v>
      </c>
      <c r="S85" s="145" t="str">
        <f>RSDTechsCE!C80&amp;" ("&amp;RSDTechsCE!D80&amp;")"</f>
        <v>CHP fuel cells – Hydrogen fuel cell (DH-70)</v>
      </c>
      <c r="T85" s="145" t="s">
        <v>31</v>
      </c>
      <c r="U85" s="145" t="s">
        <v>440</v>
      </c>
      <c r="X85" s="158"/>
    </row>
    <row r="86" spans="1:24" x14ac:dyDescent="0.25">
      <c r="A86" s="145" t="str">
        <f t="shared" si="28"/>
        <v>R_ES-CHP-DH-70-GASspl</v>
      </c>
      <c r="B86" s="145" t="str">
        <f>RSDTechsCE!F81</f>
        <v>RSDLPG, RSDBGS, RSDGAS</v>
      </c>
      <c r="C86" s="145" t="str">
        <f>IF(RSDTechsCE!G81="","",RSDTechsCE!G81)</f>
        <v/>
      </c>
      <c r="D86" s="145" t="str">
        <f>IF(RSDTechsCE!H81="","",RSDTechsCE!H81)</f>
        <v>R_ES-DH-70-SpHeat, R_ES-DH-Watheat</v>
      </c>
      <c r="E86" s="156">
        <v>2011</v>
      </c>
      <c r="F86" s="156">
        <f>RSDTechsCE!K81</f>
        <v>20</v>
      </c>
      <c r="G86" s="157">
        <v>1</v>
      </c>
      <c r="H86" s="156" t="str">
        <f t="shared" ref="H86:N86" si="39">IF(ISBLANK(H43),"",H43)</f>
        <v/>
      </c>
      <c r="I86" s="156">
        <f t="shared" si="39"/>
        <v>0.95</v>
      </c>
      <c r="J86" s="156" t="str">
        <f t="shared" si="39"/>
        <v/>
      </c>
      <c r="K86" s="156">
        <f t="shared" si="39"/>
        <v>0.66499999999999992</v>
      </c>
      <c r="L86" s="156" t="str">
        <f t="shared" si="39"/>
        <v/>
      </c>
      <c r="M86" s="156" t="str">
        <f t="shared" si="39"/>
        <v/>
      </c>
      <c r="N86" s="156" t="str">
        <f t="shared" si="39"/>
        <v/>
      </c>
      <c r="O86" s="157"/>
      <c r="Q86" s="145" t="s">
        <v>439</v>
      </c>
      <c r="R86" s="145" t="str">
        <f>RSDTechsCE!B81</f>
        <v>R_ES-CHP-DH-70-GASspl</v>
      </c>
      <c r="S86" s="145" t="str">
        <f>RSDTechsCE!C81&amp;" ("&amp;RSDTechsCE!D81&amp;")"</f>
        <v>Backup for CHPs - Natural Gas boiler (DH-70)</v>
      </c>
      <c r="T86" s="145" t="s">
        <v>31</v>
      </c>
      <c r="U86" s="145" t="s">
        <v>440</v>
      </c>
      <c r="X86" s="158"/>
    </row>
    <row r="87" spans="1:24" x14ac:dyDescent="0.25">
      <c r="A87" s="145" t="str">
        <f t="shared" si="28"/>
        <v>R_ES-CHP-DH-70-OILspl</v>
      </c>
      <c r="B87" s="145" t="str">
        <f>RSDTechsCE!F82</f>
        <v>RSDBDL, RSDOIL</v>
      </c>
      <c r="C87" s="145" t="str">
        <f>IF(RSDTechsCE!G82="","",RSDTechsCE!G82)</f>
        <v/>
      </c>
      <c r="D87" s="145" t="str">
        <f>IF(RSDTechsCE!H82="","",RSDTechsCE!H82)</f>
        <v>R_ES-DH-70-SpHeat, R_ES-DH-Watheat</v>
      </c>
      <c r="E87" s="156">
        <v>2011</v>
      </c>
      <c r="F87" s="156">
        <f>RSDTechsCE!K82</f>
        <v>22</v>
      </c>
      <c r="G87" s="157">
        <v>1</v>
      </c>
      <c r="H87" s="156" t="str">
        <f t="shared" ref="H87:N87" si="40">IF(ISBLANK(H44),"",H44)</f>
        <v/>
      </c>
      <c r="I87" s="156">
        <f t="shared" si="40"/>
        <v>0.9</v>
      </c>
      <c r="J87" s="156" t="str">
        <f t="shared" si="40"/>
        <v/>
      </c>
      <c r="K87" s="156">
        <f t="shared" si="40"/>
        <v>0.63</v>
      </c>
      <c r="L87" s="156" t="str">
        <f t="shared" si="40"/>
        <v/>
      </c>
      <c r="M87" s="156" t="str">
        <f t="shared" si="40"/>
        <v/>
      </c>
      <c r="N87" s="156" t="str">
        <f t="shared" si="40"/>
        <v/>
      </c>
      <c r="O87" s="157"/>
      <c r="Q87" s="145" t="s">
        <v>439</v>
      </c>
      <c r="R87" s="145" t="str">
        <f>RSDTechsCE!B82</f>
        <v>R_ES-CHP-DH-70-OILspl</v>
      </c>
      <c r="S87" s="145" t="str">
        <f>RSDTechsCE!C82&amp;" ("&amp;RSDTechsCE!D82&amp;")"</f>
        <v>Backup for CHPs - Oil boiler (DH-70)</v>
      </c>
      <c r="T87" s="145" t="s">
        <v>31</v>
      </c>
      <c r="U87" s="145" t="s">
        <v>440</v>
      </c>
      <c r="X87" s="158"/>
    </row>
    <row r="89" spans="1:24" x14ac:dyDescent="0.25">
      <c r="D89" s="146" t="s">
        <v>15</v>
      </c>
      <c r="Q89" s="146" t="s">
        <v>11</v>
      </c>
    </row>
    <row r="90" spans="1:24" ht="43.5" x14ac:dyDescent="0.25">
      <c r="A90" s="147" t="s">
        <v>17</v>
      </c>
      <c r="B90" s="147" t="s">
        <v>19</v>
      </c>
      <c r="C90" s="147" t="s">
        <v>355</v>
      </c>
      <c r="D90" s="147" t="s">
        <v>20</v>
      </c>
      <c r="E90" s="148" t="s">
        <v>280</v>
      </c>
      <c r="F90" s="148" t="s">
        <v>216</v>
      </c>
      <c r="G90" s="148" t="s">
        <v>292</v>
      </c>
      <c r="H90" s="148" t="s">
        <v>66</v>
      </c>
      <c r="I90" s="214" t="s">
        <v>818</v>
      </c>
      <c r="J90" s="214" t="s">
        <v>819</v>
      </c>
      <c r="K90" s="214" t="s">
        <v>820</v>
      </c>
      <c r="L90" s="214" t="s">
        <v>389</v>
      </c>
      <c r="M90" s="214" t="s">
        <v>555</v>
      </c>
      <c r="N90" s="214" t="s">
        <v>556</v>
      </c>
      <c r="O90" s="148" t="s">
        <v>515</v>
      </c>
      <c r="Q90" s="147" t="s">
        <v>16</v>
      </c>
      <c r="R90" s="147" t="s">
        <v>17</v>
      </c>
      <c r="S90" s="147" t="s">
        <v>18</v>
      </c>
      <c r="T90" s="147" t="s">
        <v>12</v>
      </c>
      <c r="U90" s="147" t="s">
        <v>13</v>
      </c>
      <c r="V90" s="147" t="s">
        <v>14</v>
      </c>
      <c r="W90" s="147" t="s">
        <v>516</v>
      </c>
      <c r="X90" s="147" t="s">
        <v>305</v>
      </c>
    </row>
    <row r="91" spans="1:24" ht="26.25" thickBot="1" x14ac:dyDescent="0.3">
      <c r="A91" s="149" t="s">
        <v>517</v>
      </c>
      <c r="B91" s="149"/>
      <c r="C91" s="149"/>
      <c r="D91" s="149"/>
      <c r="E91" s="150"/>
      <c r="F91" s="150" t="s">
        <v>518</v>
      </c>
      <c r="G91" s="150"/>
      <c r="H91" s="150"/>
      <c r="I91" s="150"/>
      <c r="J91" s="150"/>
      <c r="K91" s="150"/>
      <c r="L91" s="150"/>
      <c r="M91" s="150"/>
      <c r="N91" s="150"/>
      <c r="O91" s="151" t="s">
        <v>519</v>
      </c>
      <c r="P91" s="152"/>
      <c r="Q91" s="153" t="s">
        <v>520</v>
      </c>
      <c r="R91" s="153" t="s">
        <v>521</v>
      </c>
      <c r="S91" s="153" t="s">
        <v>522</v>
      </c>
      <c r="T91" s="153" t="s">
        <v>523</v>
      </c>
      <c r="U91" s="153" t="s">
        <v>524</v>
      </c>
      <c r="V91" s="153"/>
      <c r="W91" s="153" t="s">
        <v>525</v>
      </c>
      <c r="X91" s="153"/>
    </row>
    <row r="92" spans="1:24" x14ac:dyDescent="0.25">
      <c r="A92" s="154" t="str">
        <f>R92</f>
        <v>*Semidetached dwellings (SD)</v>
      </c>
      <c r="B92" s="154"/>
      <c r="C92" s="154" t="str">
        <f>IF(RSDTechsCE!G85="","",RSDTechsCE!G85)</f>
        <v/>
      </c>
      <c r="D92" s="154" t="str">
        <f>IF(RSDTechsCE!H85="","",RSDTechsCE!H85)</f>
        <v/>
      </c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Q92" s="154" t="s">
        <v>528</v>
      </c>
      <c r="R92" s="154" t="str">
        <f>RSDTechsCE!A85</f>
        <v>*Semidetached dwellings (SD)</v>
      </c>
      <c r="S92" s="154"/>
      <c r="T92" s="154"/>
      <c r="U92" s="154"/>
      <c r="V92" s="154"/>
      <c r="W92" s="154"/>
      <c r="X92" s="154"/>
    </row>
    <row r="93" spans="1:24" x14ac:dyDescent="0.25">
      <c r="A93" s="145" t="str">
        <f t="shared" si="28"/>
        <v>R_ES-SH-SD_OIL01</v>
      </c>
      <c r="B93" s="145" t="str">
        <f>RSDTechsCE!F86</f>
        <v>RSDOIL, RSDBDL</v>
      </c>
      <c r="C93" s="145" t="str">
        <f>IF(RSDTechsCE!G86="","",RSDTechsCE!G86)</f>
        <v/>
      </c>
      <c r="D93" s="145" t="str">
        <f>IF(RSDTechsCE!H86="","",RSDTechsCE!H86)</f>
        <v>R_ES-SD-SpHeat, R_ES-SD-WatHeat</v>
      </c>
      <c r="E93" s="156">
        <v>2011</v>
      </c>
      <c r="F93" s="157">
        <f>RSDTechsCE!K86</f>
        <v>20</v>
      </c>
      <c r="G93" s="157">
        <v>1</v>
      </c>
      <c r="H93" s="156" t="str">
        <f>IF(ISBLANK(H50),"",H50)</f>
        <v/>
      </c>
      <c r="I93" s="156">
        <f t="shared" ref="I93:N93" si="41">IF(ISBLANK(I50),"",I50)</f>
        <v>0.9</v>
      </c>
      <c r="J93" s="156" t="str">
        <f t="shared" si="41"/>
        <v/>
      </c>
      <c r="K93" s="156">
        <f t="shared" si="41"/>
        <v>0.63</v>
      </c>
      <c r="L93" s="156" t="str">
        <f t="shared" si="41"/>
        <v/>
      </c>
      <c r="M93" s="156" t="str">
        <f t="shared" si="41"/>
        <v/>
      </c>
      <c r="N93" s="156" t="str">
        <f t="shared" si="41"/>
        <v/>
      </c>
      <c r="O93" s="157"/>
      <c r="Q93" s="145" t="s">
        <v>439</v>
      </c>
      <c r="R93" s="145" t="str">
        <f>RSDTechsCE!B86</f>
        <v>R_ES-SH-SD_OIL01</v>
      </c>
      <c r="S93" s="145" t="str">
        <f>RSDTechsCE!C86&amp;" ("&amp;RSDTechsCE!D86&amp;")"</f>
        <v>Oil/Biodiesel boiler condensing_SH-WH (SD)</v>
      </c>
      <c r="T93" s="145" t="s">
        <v>31</v>
      </c>
      <c r="U93" s="145" t="s">
        <v>440</v>
      </c>
      <c r="X93" s="158"/>
    </row>
    <row r="94" spans="1:24" x14ac:dyDescent="0.25">
      <c r="A94" s="145" t="str">
        <f t="shared" si="28"/>
        <v>R_ES-SH-SD_OIL02</v>
      </c>
      <c r="B94" s="145" t="str">
        <f>RSDTechsCE!F87</f>
        <v>RSDOIL, RSDBDL</v>
      </c>
      <c r="C94" s="145" t="str">
        <f>IF(RSDTechsCE!G87="","",RSDTechsCE!G87)</f>
        <v/>
      </c>
      <c r="D94" s="145" t="str">
        <f>IF(RSDTechsCE!H87="","",RSDTechsCE!H87)</f>
        <v>R_ES-SD-SpHeat, R_ES-SD-WatHeat</v>
      </c>
      <c r="E94" s="156">
        <v>2011</v>
      </c>
      <c r="F94" s="156">
        <f>RSDTechsCE!K87</f>
        <v>20</v>
      </c>
      <c r="G94" s="157">
        <v>1</v>
      </c>
      <c r="H94" s="156" t="str">
        <f t="shared" ref="H94:N94" si="42">IF(ISBLANK(H51),"",H51)</f>
        <v/>
      </c>
      <c r="I94" s="156">
        <f t="shared" si="42"/>
        <v>0.9</v>
      </c>
      <c r="J94" s="156" t="str">
        <f t="shared" si="42"/>
        <v/>
      </c>
      <c r="K94" s="156">
        <f t="shared" si="42"/>
        <v>0.63</v>
      </c>
      <c r="L94" s="156" t="str">
        <f t="shared" si="42"/>
        <v/>
      </c>
      <c r="M94" s="156" t="str">
        <f t="shared" si="42"/>
        <v/>
      </c>
      <c r="N94" s="156" t="str">
        <f t="shared" si="42"/>
        <v/>
      </c>
      <c r="O94" s="157"/>
      <c r="Q94" s="145" t="s">
        <v>439</v>
      </c>
      <c r="R94" s="145" t="str">
        <f>RSDTechsCE!B87</f>
        <v>R_ES-SH-SD_OIL02</v>
      </c>
      <c r="S94" s="145" t="str">
        <f>RSDTechsCE!C87&amp;" ("&amp;RSDTechsCE!D87&amp;")"</f>
        <v>Oil/Biodiesel boiler condensing + wt other techs_SH-WH  (SD)</v>
      </c>
      <c r="T94" s="145" t="s">
        <v>31</v>
      </c>
      <c r="U94" s="145" t="s">
        <v>440</v>
      </c>
      <c r="X94" s="158"/>
    </row>
    <row r="95" spans="1:24" x14ac:dyDescent="0.25">
      <c r="A95" s="145" t="str">
        <f t="shared" si="28"/>
        <v>R_ES-SH-SD_OIL02-SOLspl</v>
      </c>
      <c r="B95" s="145" t="str">
        <f>RSDTechsCE!F88</f>
        <v>RSDSOL</v>
      </c>
      <c r="C95" s="145" t="str">
        <f>IF(RSDTechsCE!G88="","",RSDTechsCE!G88)</f>
        <v/>
      </c>
      <c r="D95" s="145" t="str">
        <f>IF(RSDTechsCE!H88="","",RSDTechsCE!H88)</f>
        <v>R_ES-SD-SpHeat, R_ES-SD-WatHeat</v>
      </c>
      <c r="E95" s="156">
        <v>2011</v>
      </c>
      <c r="F95" s="156">
        <f>RSDTechsCE!K88</f>
        <v>20</v>
      </c>
      <c r="G95" s="157">
        <v>1</v>
      </c>
      <c r="H95" s="156" t="str">
        <f t="shared" ref="H95:N95" si="43">IF(ISBLANK(H52),"",H52)</f>
        <v/>
      </c>
      <c r="I95" s="156">
        <f t="shared" si="43"/>
        <v>1</v>
      </c>
      <c r="J95" s="156" t="str">
        <f t="shared" si="43"/>
        <v/>
      </c>
      <c r="K95" s="156">
        <f t="shared" si="43"/>
        <v>0.7</v>
      </c>
      <c r="L95" s="156" t="str">
        <f t="shared" si="43"/>
        <v/>
      </c>
      <c r="M95" s="156" t="str">
        <f t="shared" si="43"/>
        <v/>
      </c>
      <c r="N95" s="156" t="str">
        <f t="shared" si="43"/>
        <v/>
      </c>
      <c r="O95" s="157"/>
      <c r="Q95" s="145" t="s">
        <v>439</v>
      </c>
      <c r="R95" s="145" t="str">
        <f>RSDTechsCE!B88</f>
        <v>R_ES-SH-SD_OIL02-SOLspl</v>
      </c>
      <c r="S95" s="145" t="str">
        <f>RSDTechsCE!C88&amp;" ("&amp;RSDTechsCE!D88&amp;")"</f>
        <v>Backup for Oil boiler - Solar thermal_SH-WH  (SD)</v>
      </c>
      <c r="T95" s="145" t="s">
        <v>31</v>
      </c>
      <c r="U95" s="145" t="s">
        <v>440</v>
      </c>
      <c r="X95" s="158"/>
    </row>
    <row r="96" spans="1:24" x14ac:dyDescent="0.25">
      <c r="A96" s="145" t="str">
        <f t="shared" si="28"/>
        <v>R_ES-SH-SD_OIL02-BIOspl</v>
      </c>
      <c r="B96" s="145" t="str">
        <f>RSDTechsCE!F89</f>
        <v>RSDBIO</v>
      </c>
      <c r="C96" s="145" t="str">
        <f>IF(RSDTechsCE!G89="","",RSDTechsCE!G89)</f>
        <v/>
      </c>
      <c r="D96" s="145" t="str">
        <f>IF(RSDTechsCE!H89="","",RSDTechsCE!H89)</f>
        <v>R_ES-SD-SpHeat</v>
      </c>
      <c r="E96" s="156">
        <v>2011</v>
      </c>
      <c r="F96" s="156">
        <f>RSDTechsCE!K89</f>
        <v>20</v>
      </c>
      <c r="G96" s="157">
        <v>1</v>
      </c>
      <c r="H96" s="156" t="str">
        <f t="shared" ref="H96:N96" si="44">IF(ISBLANK(H53),"",H53)</f>
        <v/>
      </c>
      <c r="I96" s="156">
        <f t="shared" si="44"/>
        <v>0.65</v>
      </c>
      <c r="J96" s="156" t="str">
        <f t="shared" si="44"/>
        <v/>
      </c>
      <c r="K96" s="156" t="str">
        <f t="shared" si="44"/>
        <v/>
      </c>
      <c r="L96" s="156" t="str">
        <f t="shared" si="44"/>
        <v/>
      </c>
      <c r="M96" s="156" t="str">
        <f t="shared" si="44"/>
        <v/>
      </c>
      <c r="N96" s="156" t="str">
        <f t="shared" si="44"/>
        <v/>
      </c>
      <c r="O96" s="157"/>
      <c r="Q96" s="145" t="s">
        <v>439</v>
      </c>
      <c r="R96" s="145" t="str">
        <f>RSDTechsCE!B89</f>
        <v>R_ES-SH-SD_OIL02-BIOspl</v>
      </c>
      <c r="S96" s="145" t="str">
        <f>RSDTechsCE!C89&amp;" ("&amp;RSDTechsCE!D89&amp;")"</f>
        <v>Backup for Oil boiler - Wood stove_SH (SD)</v>
      </c>
      <c r="T96" s="145" t="s">
        <v>31</v>
      </c>
      <c r="U96" s="145" t="s">
        <v>440</v>
      </c>
      <c r="X96" s="158"/>
    </row>
    <row r="97" spans="1:24" x14ac:dyDescent="0.25">
      <c r="A97" s="145" t="str">
        <f t="shared" si="28"/>
        <v>R_ES-SH-SD_GAS01</v>
      </c>
      <c r="B97" s="145" t="str">
        <f>RSDTechsCE!F90</f>
        <v>RSDGAS, RSDLPG, RSDBGS</v>
      </c>
      <c r="C97" s="145" t="str">
        <f>IF(RSDTechsCE!G90="","",RSDTechsCE!G90)</f>
        <v/>
      </c>
      <c r="D97" s="145" t="str">
        <f>IF(RSDTechsCE!H90="","",RSDTechsCE!H90)</f>
        <v>R_ES-SD-SpHeat, R_ES-SD-WatHeat</v>
      </c>
      <c r="E97" s="156">
        <v>2011</v>
      </c>
      <c r="F97" s="156">
        <f>RSDTechsCE!K90</f>
        <v>22</v>
      </c>
      <c r="G97" s="157">
        <v>1</v>
      </c>
      <c r="H97" s="156" t="str">
        <f t="shared" ref="H97:N97" si="45">IF(ISBLANK(H54),"",H54)</f>
        <v/>
      </c>
      <c r="I97" s="156">
        <f t="shared" si="45"/>
        <v>0.95</v>
      </c>
      <c r="J97" s="156" t="str">
        <f t="shared" si="45"/>
        <v/>
      </c>
      <c r="K97" s="156">
        <f t="shared" si="45"/>
        <v>0.66499999999999992</v>
      </c>
      <c r="L97" s="156" t="str">
        <f t="shared" si="45"/>
        <v/>
      </c>
      <c r="M97" s="156" t="str">
        <f t="shared" si="45"/>
        <v/>
      </c>
      <c r="N97" s="156" t="str">
        <f t="shared" si="45"/>
        <v/>
      </c>
      <c r="O97" s="157"/>
      <c r="Q97" s="145" t="s">
        <v>439</v>
      </c>
      <c r="R97" s="145" t="str">
        <f>RSDTechsCE!B90</f>
        <v>R_ES-SH-SD_GAS01</v>
      </c>
      <c r="S97" s="145" t="str">
        <f>RSDTechsCE!C90&amp;" ("&amp;RSDTechsCE!D90&amp;")"</f>
        <v>Gas/LPG/Biogas boiler condensing_SH-WH  (SD)</v>
      </c>
      <c r="T97" s="145" t="s">
        <v>31</v>
      </c>
      <c r="U97" s="145" t="s">
        <v>440</v>
      </c>
      <c r="X97" s="158"/>
    </row>
    <row r="98" spans="1:24" x14ac:dyDescent="0.25">
      <c r="A98" s="145" t="str">
        <f t="shared" si="28"/>
        <v>R_ES-SH-SD_GAS02</v>
      </c>
      <c r="B98" s="145" t="str">
        <f>RSDTechsCE!F91</f>
        <v>RSDGAS, RSDLPG, RSDBGS</v>
      </c>
      <c r="C98" s="145" t="str">
        <f>IF(RSDTechsCE!G91="","",RSDTechsCE!G91)</f>
        <v/>
      </c>
      <c r="D98" s="145" t="str">
        <f>IF(RSDTechsCE!H91="","",RSDTechsCE!H91)</f>
        <v>R_ES-SD-SpHeat, R_ES-SD-WatHeat</v>
      </c>
      <c r="E98" s="156">
        <v>2011</v>
      </c>
      <c r="F98" s="156">
        <f>RSDTechsCE!K91</f>
        <v>22</v>
      </c>
      <c r="G98" s="157">
        <v>1</v>
      </c>
      <c r="H98" s="156" t="str">
        <f t="shared" ref="H98:N98" si="46">IF(ISBLANK(H55),"",H55)</f>
        <v/>
      </c>
      <c r="I98" s="156">
        <f t="shared" si="46"/>
        <v>0.95</v>
      </c>
      <c r="J98" s="156" t="str">
        <f t="shared" si="46"/>
        <v/>
      </c>
      <c r="K98" s="156">
        <f t="shared" si="46"/>
        <v>0.66499999999999992</v>
      </c>
      <c r="L98" s="156" t="str">
        <f t="shared" si="46"/>
        <v/>
      </c>
      <c r="M98" s="156" t="str">
        <f t="shared" si="46"/>
        <v/>
      </c>
      <c r="N98" s="156" t="str">
        <f t="shared" si="46"/>
        <v/>
      </c>
      <c r="O98" s="157"/>
      <c r="Q98" s="145" t="s">
        <v>439</v>
      </c>
      <c r="R98" s="145" t="str">
        <f>RSDTechsCE!B91</f>
        <v>R_ES-SH-SD_GAS02</v>
      </c>
      <c r="S98" s="145" t="str">
        <f>RSDTechsCE!C91&amp;" ("&amp;RSDTechsCE!D91&amp;")"</f>
        <v>Gas/LPG/Biogas boiler condensing + wt other techs_SH-WH (SD)</v>
      </c>
      <c r="T98" s="145" t="s">
        <v>31</v>
      </c>
      <c r="U98" s="145" t="s">
        <v>440</v>
      </c>
      <c r="X98" s="158"/>
    </row>
    <row r="99" spans="1:24" x14ac:dyDescent="0.25">
      <c r="A99" s="145" t="str">
        <f t="shared" si="28"/>
        <v>R_ES-SH-SD_GAS02-SOLspl</v>
      </c>
      <c r="B99" s="145" t="str">
        <f>RSDTechsCE!F92</f>
        <v>RSDSOL</v>
      </c>
      <c r="C99" s="145" t="str">
        <f>IF(RSDTechsCE!G92="","",RSDTechsCE!G92)</f>
        <v/>
      </c>
      <c r="D99" s="145" t="str">
        <f>IF(RSDTechsCE!H92="","",RSDTechsCE!H92)</f>
        <v>R_ES-SD-SpHeat, R_ES-SD-WatHeat</v>
      </c>
      <c r="E99" s="156">
        <v>2011</v>
      </c>
      <c r="F99" s="156">
        <f>RSDTechsCE!K92</f>
        <v>20</v>
      </c>
      <c r="G99" s="157">
        <v>1</v>
      </c>
      <c r="H99" s="156" t="str">
        <f t="shared" ref="H99:N99" si="47">IF(ISBLANK(H56),"",H56)</f>
        <v/>
      </c>
      <c r="I99" s="156">
        <f t="shared" si="47"/>
        <v>1</v>
      </c>
      <c r="J99" s="156" t="str">
        <f t="shared" si="47"/>
        <v/>
      </c>
      <c r="K99" s="156">
        <f t="shared" si="47"/>
        <v>0.7</v>
      </c>
      <c r="L99" s="156" t="str">
        <f t="shared" si="47"/>
        <v/>
      </c>
      <c r="M99" s="156" t="str">
        <f t="shared" si="47"/>
        <v/>
      </c>
      <c r="N99" s="156" t="str">
        <f t="shared" si="47"/>
        <v/>
      </c>
      <c r="O99" s="157"/>
      <c r="Q99" s="145" t="s">
        <v>439</v>
      </c>
      <c r="R99" s="145" t="str">
        <f>RSDTechsCE!B92</f>
        <v>R_ES-SH-SD_GAS02-SOLspl</v>
      </c>
      <c r="S99" s="145" t="str">
        <f>RSDTechsCE!C92&amp;" ("&amp;RSDTechsCE!D92&amp;")"</f>
        <v>Backup for Gas boiler - Solar thermal_SH-WH  (SD)</v>
      </c>
      <c r="T99" s="145" t="s">
        <v>31</v>
      </c>
      <c r="U99" s="145" t="s">
        <v>440</v>
      </c>
      <c r="X99" s="158"/>
    </row>
    <row r="100" spans="1:24" x14ac:dyDescent="0.25">
      <c r="A100" s="145" t="str">
        <f t="shared" si="28"/>
        <v>R_ES-SH-SD_GAS02-BIOspl</v>
      </c>
      <c r="B100" s="145" t="str">
        <f>RSDTechsCE!F93</f>
        <v>RSDBIO</v>
      </c>
      <c r="C100" s="145" t="str">
        <f>IF(RSDTechsCE!G93="","",RSDTechsCE!G93)</f>
        <v/>
      </c>
      <c r="D100" s="145" t="str">
        <f>IF(RSDTechsCE!H93="","",RSDTechsCE!H93)</f>
        <v>R_ES-SD-SpHeat</v>
      </c>
      <c r="E100" s="156">
        <v>2011</v>
      </c>
      <c r="F100" s="156">
        <f>RSDTechsCE!K93</f>
        <v>20</v>
      </c>
      <c r="G100" s="157">
        <v>1</v>
      </c>
      <c r="H100" s="156" t="str">
        <f t="shared" ref="H100:N100" si="48">IF(ISBLANK(H57),"",H57)</f>
        <v/>
      </c>
      <c r="I100" s="156">
        <f t="shared" si="48"/>
        <v>0.65</v>
      </c>
      <c r="J100" s="156" t="str">
        <f t="shared" si="48"/>
        <v/>
      </c>
      <c r="K100" s="156" t="str">
        <f t="shared" si="48"/>
        <v/>
      </c>
      <c r="L100" s="156" t="str">
        <f t="shared" si="48"/>
        <v/>
      </c>
      <c r="M100" s="156" t="str">
        <f t="shared" si="48"/>
        <v/>
      </c>
      <c r="N100" s="156" t="str">
        <f t="shared" si="48"/>
        <v/>
      </c>
      <c r="O100" s="157"/>
      <c r="Q100" s="145" t="s">
        <v>439</v>
      </c>
      <c r="R100" s="145" t="str">
        <f>RSDTechsCE!B93</f>
        <v>R_ES-SH-SD_GAS02-BIOspl</v>
      </c>
      <c r="S100" s="145" t="str">
        <f>RSDTechsCE!C93&amp;" ("&amp;RSDTechsCE!D93&amp;")"</f>
        <v>Backup for Gas boiler - Wood stove_SH (SD)</v>
      </c>
      <c r="T100" s="145" t="s">
        <v>31</v>
      </c>
      <c r="U100" s="145" t="s">
        <v>440</v>
      </c>
      <c r="X100" s="158"/>
    </row>
    <row r="101" spans="1:24" x14ac:dyDescent="0.25">
      <c r="A101" s="145" t="str">
        <f t="shared" si="28"/>
        <v>R_ES-SH-SD_BIO01</v>
      </c>
      <c r="B101" s="145" t="str">
        <f>RSDTechsCE!F94</f>
        <v>RSDBIO</v>
      </c>
      <c r="C101" s="145" t="str">
        <f>IF(RSDTechsCE!G94="","",RSDTechsCE!G94)</f>
        <v/>
      </c>
      <c r="D101" s="145" t="str">
        <f>IF(RSDTechsCE!H94="","",RSDTechsCE!H94)</f>
        <v>R_ES-SD-SpHeat, R_ES-SD-WatHeat</v>
      </c>
      <c r="E101" s="156">
        <v>2011</v>
      </c>
      <c r="F101" s="156">
        <f>RSDTechsCE!K94</f>
        <v>20</v>
      </c>
      <c r="G101" s="157">
        <v>1</v>
      </c>
      <c r="H101" s="156" t="str">
        <f t="shared" ref="H101:N101" si="49">IF(ISBLANK(H58),"",H58)</f>
        <v/>
      </c>
      <c r="I101" s="156">
        <f t="shared" si="49"/>
        <v>0.67308496185599331</v>
      </c>
      <c r="J101" s="156" t="str">
        <f t="shared" si="49"/>
        <v/>
      </c>
      <c r="K101" s="156">
        <f t="shared" si="49"/>
        <v>0.47115947329919527</v>
      </c>
      <c r="L101" s="156" t="str">
        <f t="shared" si="49"/>
        <v/>
      </c>
      <c r="M101" s="156" t="str">
        <f t="shared" si="49"/>
        <v/>
      </c>
      <c r="N101" s="156" t="str">
        <f t="shared" si="49"/>
        <v/>
      </c>
      <c r="O101" s="157"/>
      <c r="Q101" s="145" t="s">
        <v>439</v>
      </c>
      <c r="R101" s="145" t="str">
        <f>RSDTechsCE!B94</f>
        <v>R_ES-SH-SD_BIO01</v>
      </c>
      <c r="S101" s="145" t="str">
        <f>RSDTechsCE!C94&amp;" ("&amp;RSDTechsCE!D94&amp;")"</f>
        <v>Biomass boiler_SH-WH (SD)</v>
      </c>
      <c r="T101" s="145" t="s">
        <v>31</v>
      </c>
      <c r="U101" s="145" t="s">
        <v>440</v>
      </c>
      <c r="X101" s="158"/>
    </row>
    <row r="102" spans="1:24" x14ac:dyDescent="0.25">
      <c r="A102" s="159" t="str">
        <f t="shared" si="28"/>
        <v>R_ES-SH-SD_ELC01</v>
      </c>
      <c r="B102" s="159" t="str">
        <f>RSDTechsCE!F95</f>
        <v>RSDELC</v>
      </c>
      <c r="C102" s="159" t="str">
        <f>IF(RSDTechsCE!G95="","",RSDTechsCE!G95)</f>
        <v/>
      </c>
      <c r="D102" s="159" t="str">
        <f>IF(RSDTechsCE!H95="","",RSDTechsCE!H95)</f>
        <v>R_ES-SD-SpHeat, R_ES-SD-WatHeat</v>
      </c>
      <c r="E102" s="160">
        <v>2011</v>
      </c>
      <c r="F102" s="160">
        <f>RSDTechsCE!K95</f>
        <v>15</v>
      </c>
      <c r="G102" s="161">
        <v>1</v>
      </c>
      <c r="H102" s="160" t="str">
        <f t="shared" ref="H102:N102" si="50">IF(ISBLANK(H59),"",H59)</f>
        <v/>
      </c>
      <c r="I102" s="160">
        <f t="shared" si="50"/>
        <v>1</v>
      </c>
      <c r="J102" s="160" t="str">
        <f t="shared" si="50"/>
        <v/>
      </c>
      <c r="K102" s="160">
        <f t="shared" si="50"/>
        <v>0.7</v>
      </c>
      <c r="L102" s="160" t="str">
        <f t="shared" si="50"/>
        <v/>
      </c>
      <c r="M102" s="160" t="str">
        <f t="shared" si="50"/>
        <v/>
      </c>
      <c r="N102" s="160" t="str">
        <f t="shared" si="50"/>
        <v/>
      </c>
      <c r="O102" s="161"/>
      <c r="Q102" s="159" t="s">
        <v>439</v>
      </c>
      <c r="R102" s="159" t="str">
        <f>RSDTechsCE!B95</f>
        <v>R_ES-SH-SD_ELC01</v>
      </c>
      <c r="S102" s="159" t="str">
        <f>RSDTechsCE!C95&amp;" ("&amp;RSDTechsCE!D95&amp;")"</f>
        <v>Electric boiler_SH-WH (SD)</v>
      </c>
      <c r="T102" s="159" t="s">
        <v>31</v>
      </c>
      <c r="U102" s="159" t="s">
        <v>440</v>
      </c>
      <c r="V102" s="159"/>
      <c r="W102" s="159"/>
      <c r="X102" s="162"/>
    </row>
    <row r="103" spans="1:24" x14ac:dyDescent="0.25">
      <c r="A103" s="145" t="str">
        <f t="shared" si="28"/>
        <v>R_ES-SH-SD_ELC02</v>
      </c>
      <c r="B103" s="145" t="str">
        <f>RSDTechsCE!F96</f>
        <v>RSDELC</v>
      </c>
      <c r="C103" s="145" t="str">
        <f>IF(RSDTechsCE!G96="","",RSDTechsCE!G96)</f>
        <v>RSDAHT</v>
      </c>
      <c r="D103" s="145" t="str">
        <f>IF(RSDTechsCE!H96="","",RSDTechsCE!H96)</f>
        <v>R_ES-SD-SpHeat, R_ES-SD-SpCool</v>
      </c>
      <c r="E103" s="156">
        <v>2011</v>
      </c>
      <c r="F103" s="156">
        <f>RSDTechsCE!K96</f>
        <v>20</v>
      </c>
      <c r="G103" s="157">
        <v>1</v>
      </c>
      <c r="H103" s="156" t="str">
        <f t="shared" ref="H103:N103" si="51">IF(ISBLANK(H60),"",H60)</f>
        <v/>
      </c>
      <c r="I103" s="156" t="str">
        <f t="shared" si="51"/>
        <v/>
      </c>
      <c r="J103" s="156">
        <f t="shared" si="51"/>
        <v>5</v>
      </c>
      <c r="K103" s="156" t="str">
        <f t="shared" si="51"/>
        <v/>
      </c>
      <c r="L103" s="156" t="str">
        <f t="shared" si="51"/>
        <v/>
      </c>
      <c r="M103" s="156" t="str">
        <f t="shared" si="51"/>
        <v/>
      </c>
      <c r="N103" s="156" t="str">
        <f t="shared" si="51"/>
        <v/>
      </c>
      <c r="O103" s="157"/>
      <c r="Q103" s="145" t="s">
        <v>439</v>
      </c>
      <c r="R103" s="145" t="str">
        <f>RSDTechsCE!B96</f>
        <v>R_ES-SH-SD_ELC02</v>
      </c>
      <c r="S103" s="145" t="str">
        <f>RSDTechsCE!C96&amp;" ("&amp;RSDTechsCE!D96&amp;")"</f>
        <v>Heat Pump Air-to-Air_SH (SD)</v>
      </c>
      <c r="T103" s="145" t="s">
        <v>31</v>
      </c>
      <c r="U103" s="145" t="s">
        <v>440</v>
      </c>
      <c r="X103" s="158"/>
    </row>
    <row r="104" spans="1:24" x14ac:dyDescent="0.25">
      <c r="A104" s="145" t="str">
        <f t="shared" si="28"/>
        <v>R_ES-SH-SD_ELC02-ELCspl</v>
      </c>
      <c r="B104" s="145" t="str">
        <f>RSDTechsCE!F97</f>
        <v>RSDELC</v>
      </c>
      <c r="C104" s="145" t="str">
        <f>IF(RSDTechsCE!G97="","",RSDTechsCE!G97)</f>
        <v/>
      </c>
      <c r="D104" s="145" t="str">
        <f>IF(RSDTechsCE!H97="","",RSDTechsCE!H97)</f>
        <v>R_ES-SD-SpHeat, R_ES-SD-WatHeat</v>
      </c>
      <c r="E104" s="156">
        <v>2011</v>
      </c>
      <c r="F104" s="156">
        <f>RSDTechsCE!K97</f>
        <v>15</v>
      </c>
      <c r="G104" s="157">
        <v>1</v>
      </c>
      <c r="H104" s="156" t="str">
        <f t="shared" ref="H104:N104" si="52">IF(ISBLANK(H61),"",H61)</f>
        <v/>
      </c>
      <c r="I104" s="156">
        <f t="shared" si="52"/>
        <v>1</v>
      </c>
      <c r="J104" s="156" t="str">
        <f t="shared" si="52"/>
        <v/>
      </c>
      <c r="K104" s="156">
        <f t="shared" si="52"/>
        <v>0.7</v>
      </c>
      <c r="L104" s="156" t="str">
        <f t="shared" si="52"/>
        <v/>
      </c>
      <c r="M104" s="156" t="str">
        <f t="shared" si="52"/>
        <v/>
      </c>
      <c r="N104" s="156" t="str">
        <f t="shared" si="52"/>
        <v/>
      </c>
      <c r="O104" s="157"/>
      <c r="Q104" s="145" t="s">
        <v>439</v>
      </c>
      <c r="R104" s="145" t="str">
        <f>RSDTechsCE!B97</f>
        <v>R_ES-SH-SD_ELC02-ELCspl</v>
      </c>
      <c r="S104" s="145" t="str">
        <f>RSDTechsCE!C97&amp;" ("&amp;RSDTechsCE!D97&amp;")"</f>
        <v>Backup for Heat Pump Air-to-Air - Electric_SH-WH  (SD)</v>
      </c>
      <c r="T104" s="145" t="s">
        <v>31</v>
      </c>
      <c r="U104" s="145" t="s">
        <v>440</v>
      </c>
      <c r="X104" s="158"/>
    </row>
    <row r="105" spans="1:24" x14ac:dyDescent="0.25">
      <c r="A105" s="145" t="str">
        <f t="shared" si="28"/>
        <v>R_ES-SH-SD_ELC02-GASspl</v>
      </c>
      <c r="B105" s="145" t="str">
        <f>RSDTechsCE!F98</f>
        <v>RSDLPG, RSDBGS, RSDGAS</v>
      </c>
      <c r="C105" s="145" t="str">
        <f>IF(RSDTechsCE!G98="","",RSDTechsCE!G98)</f>
        <v/>
      </c>
      <c r="D105" s="145" t="str">
        <f>IF(RSDTechsCE!H98="","",RSDTechsCE!H98)</f>
        <v>R_ES-SD-SpHeat, R_ES-SD-WatHeat</v>
      </c>
      <c r="E105" s="156">
        <v>2011</v>
      </c>
      <c r="F105" s="156">
        <f>RSDTechsCE!K98</f>
        <v>22</v>
      </c>
      <c r="G105" s="157">
        <v>1</v>
      </c>
      <c r="H105" s="156" t="str">
        <f t="shared" ref="H105:N105" si="53">IF(ISBLANK(H62),"",H62)</f>
        <v/>
      </c>
      <c r="I105" s="156">
        <f t="shared" si="53"/>
        <v>0.84679858006836706</v>
      </c>
      <c r="J105" s="156" t="str">
        <f t="shared" si="53"/>
        <v/>
      </c>
      <c r="K105" s="156">
        <f t="shared" si="53"/>
        <v>0.59275900604785692</v>
      </c>
      <c r="L105" s="156" t="str">
        <f t="shared" si="53"/>
        <v/>
      </c>
      <c r="M105" s="156" t="str">
        <f t="shared" si="53"/>
        <v/>
      </c>
      <c r="N105" s="156" t="str">
        <f t="shared" si="53"/>
        <v/>
      </c>
      <c r="O105" s="157"/>
      <c r="Q105" s="145" t="s">
        <v>439</v>
      </c>
      <c r="R105" s="145" t="str">
        <f>RSDTechsCE!B98</f>
        <v>R_ES-SH-SD_ELC02-GASspl</v>
      </c>
      <c r="S105" s="145" t="str">
        <f>RSDTechsCE!C98&amp;" ("&amp;RSDTechsCE!D98&amp;")"</f>
        <v>Backup for Heat Pump Air-to-Air - Natural Gas boiler_SH-WH  (SD)</v>
      </c>
      <c r="T105" s="145" t="s">
        <v>31</v>
      </c>
      <c r="U105" s="145" t="s">
        <v>440</v>
      </c>
      <c r="X105" s="158"/>
    </row>
    <row r="106" spans="1:24" x14ac:dyDescent="0.25">
      <c r="A106" s="145" t="str">
        <f t="shared" si="28"/>
        <v>R_ES-SH-SD_ELC02-BIOspl</v>
      </c>
      <c r="B106" s="145" t="str">
        <f>RSDTechsCE!F99</f>
        <v>RSDBIO</v>
      </c>
      <c r="C106" s="145" t="str">
        <f>IF(RSDTechsCE!G99="","",RSDTechsCE!G99)</f>
        <v/>
      </c>
      <c r="D106" s="145" t="str">
        <f>IF(RSDTechsCE!H99="","",RSDTechsCE!H99)</f>
        <v>R_ES-SD-SpHeat, R_ES-SD-WatHeat</v>
      </c>
      <c r="E106" s="156">
        <v>2011</v>
      </c>
      <c r="F106" s="156">
        <f>RSDTechsCE!K99</f>
        <v>20</v>
      </c>
      <c r="G106" s="157">
        <v>1</v>
      </c>
      <c r="H106" s="156" t="str">
        <f t="shared" ref="H106:N106" si="54">IF(ISBLANK(H63),"",H63)</f>
        <v/>
      </c>
      <c r="I106" s="156">
        <f t="shared" si="54"/>
        <v>0.67308496185599331</v>
      </c>
      <c r="J106" s="156" t="str">
        <f t="shared" si="54"/>
        <v/>
      </c>
      <c r="K106" s="156">
        <f t="shared" si="54"/>
        <v>0.47115947329919527</v>
      </c>
      <c r="L106" s="156" t="str">
        <f t="shared" si="54"/>
        <v/>
      </c>
      <c r="M106" s="156" t="str">
        <f t="shared" si="54"/>
        <v/>
      </c>
      <c r="N106" s="156" t="str">
        <f t="shared" si="54"/>
        <v/>
      </c>
      <c r="O106" s="157"/>
      <c r="Q106" s="145" t="s">
        <v>439</v>
      </c>
      <c r="R106" s="145" t="str">
        <f>RSDTechsCE!B99</f>
        <v>R_ES-SH-SD_ELC02-BIOspl</v>
      </c>
      <c r="S106" s="145" t="str">
        <f>RSDTechsCE!C99&amp;" ("&amp;RSDTechsCE!D99&amp;")"</f>
        <v>Backup for Heat Pump Air-to-Air - Biomass boiler_SH-WH  (SD)</v>
      </c>
      <c r="T106" s="145" t="s">
        <v>31</v>
      </c>
      <c r="U106" s="145" t="s">
        <v>440</v>
      </c>
      <c r="X106" s="158"/>
    </row>
    <row r="107" spans="1:24" x14ac:dyDescent="0.25">
      <c r="A107" s="145" t="str">
        <f t="shared" si="28"/>
        <v>R_ES-SH-SD_ELC02-SOLspl</v>
      </c>
      <c r="B107" s="145" t="str">
        <f>RSDTechsCE!F100</f>
        <v>RSDSOL</v>
      </c>
      <c r="C107" s="145" t="str">
        <f>IF(RSDTechsCE!G100="","",RSDTechsCE!G100)</f>
        <v/>
      </c>
      <c r="D107" s="145" t="str">
        <f>IF(RSDTechsCE!H100="","",RSDTechsCE!H100)</f>
        <v>R_ES-SD-SpHeat, R_ES-SD-WatHeat</v>
      </c>
      <c r="E107" s="156">
        <v>2011</v>
      </c>
      <c r="F107" s="156">
        <f>RSDTechsCE!K100</f>
        <v>20</v>
      </c>
      <c r="G107" s="157">
        <v>1</v>
      </c>
      <c r="H107" s="156" t="str">
        <f t="shared" ref="H107:N107" si="55">IF(ISBLANK(H64),"",H64)</f>
        <v/>
      </c>
      <c r="I107" s="156">
        <f t="shared" si="55"/>
        <v>1</v>
      </c>
      <c r="J107" s="156" t="str">
        <f t="shared" si="55"/>
        <v/>
      </c>
      <c r="K107" s="156">
        <f t="shared" si="55"/>
        <v>0.7</v>
      </c>
      <c r="L107" s="156" t="str">
        <f t="shared" si="55"/>
        <v/>
      </c>
      <c r="M107" s="156" t="str">
        <f t="shared" si="55"/>
        <v/>
      </c>
      <c r="N107" s="156" t="str">
        <f t="shared" si="55"/>
        <v/>
      </c>
      <c r="O107" s="157"/>
      <c r="Q107" s="145" t="s">
        <v>439</v>
      </c>
      <c r="R107" s="145" t="str">
        <f>RSDTechsCE!B100</f>
        <v>R_ES-SH-SD_ELC02-SOLspl</v>
      </c>
      <c r="S107" s="145" t="str">
        <f>RSDTechsCE!C100&amp;" ("&amp;RSDTechsCE!D100&amp;")"</f>
        <v>Backup for Heat Pump Air-to-Air - Solar thermal_SH-WH  (SD)</v>
      </c>
      <c r="T107" s="145" t="s">
        <v>31</v>
      </c>
      <c r="U107" s="145" t="s">
        <v>440</v>
      </c>
      <c r="X107" s="158"/>
    </row>
    <row r="108" spans="1:24" x14ac:dyDescent="0.25">
      <c r="A108" s="145" t="str">
        <f t="shared" si="28"/>
        <v>R_ES-SH-SD_ELC04</v>
      </c>
      <c r="B108" s="145" t="str">
        <f>RSDTechsCE!F101</f>
        <v>RSDELC</v>
      </c>
      <c r="C108" s="145" t="str">
        <f>IF(RSDTechsCE!G101="","",RSDTechsCE!G101)</f>
        <v>RSDAHT</v>
      </c>
      <c r="D108" s="145" t="str">
        <f>IF(RSDTechsCE!H101="","",RSDTechsCE!H101)</f>
        <v>R_ES-SD-SpHeat, R_ES-SD-WatHeat</v>
      </c>
      <c r="E108" s="156">
        <v>2011</v>
      </c>
      <c r="F108" s="156">
        <f>RSDTechsCE!K101</f>
        <v>20</v>
      </c>
      <c r="G108" s="157">
        <v>1</v>
      </c>
      <c r="H108" s="156" t="str">
        <f t="shared" ref="H108:N108" si="56">IF(ISBLANK(H65),"",H65)</f>
        <v/>
      </c>
      <c r="I108" s="156" t="str">
        <f t="shared" si="56"/>
        <v/>
      </c>
      <c r="J108" s="156" t="str">
        <f t="shared" si="56"/>
        <v/>
      </c>
      <c r="K108" s="156">
        <f t="shared" si="56"/>
        <v>2.7</v>
      </c>
      <c r="L108" s="156" t="str">
        <f t="shared" si="56"/>
        <v/>
      </c>
      <c r="M108" s="156" t="str">
        <f t="shared" si="56"/>
        <v/>
      </c>
      <c r="N108" s="156" t="str">
        <f t="shared" si="56"/>
        <v/>
      </c>
      <c r="O108" s="157"/>
      <c r="Q108" s="145" t="s">
        <v>439</v>
      </c>
      <c r="R108" s="145" t="str">
        <f>RSDTechsCE!B101</f>
        <v>R_ES-SH-SD_ELC04</v>
      </c>
      <c r="S108" s="145" t="str">
        <f>RSDTechsCE!C101&amp;" ("&amp;RSDTechsCE!D101&amp;")"</f>
        <v>Heat Pump Air-to-Water_SH-WH (SD)</v>
      </c>
      <c r="T108" s="145" t="s">
        <v>31</v>
      </c>
      <c r="U108" s="145" t="s">
        <v>440</v>
      </c>
      <c r="X108" s="158"/>
    </row>
    <row r="109" spans="1:24" x14ac:dyDescent="0.25">
      <c r="A109" s="145" t="str">
        <f t="shared" si="28"/>
        <v>R_ES-SH-SD_ELC05</v>
      </c>
      <c r="B109" s="145" t="str">
        <f>RSDTechsCE!F102</f>
        <v>RSDELC</v>
      </c>
      <c r="C109" s="145" t="str">
        <f>IF(RSDTechsCE!G102="","",RSDTechsCE!G102)</f>
        <v>RSDAHT</v>
      </c>
      <c r="D109" s="145" t="str">
        <f>IF(RSDTechsCE!H102="","",RSDTechsCE!H102)</f>
        <v>R_ES-SD-SpHeat, R_ES-SD-WatHeat, R_ES-SD-SpCool</v>
      </c>
      <c r="E109" s="156">
        <v>2011</v>
      </c>
      <c r="F109" s="156">
        <f>RSDTechsCE!K102</f>
        <v>20</v>
      </c>
      <c r="G109" s="157">
        <v>1</v>
      </c>
      <c r="H109" s="156" t="str">
        <f t="shared" ref="H109:N109" si="57">IF(ISBLANK(H66),"",H66)</f>
        <v/>
      </c>
      <c r="I109" s="156" t="str">
        <f t="shared" si="57"/>
        <v/>
      </c>
      <c r="J109" s="156">
        <f t="shared" si="57"/>
        <v>5</v>
      </c>
      <c r="K109" s="156">
        <f t="shared" si="57"/>
        <v>2.7</v>
      </c>
      <c r="L109" s="156" t="str">
        <f t="shared" si="57"/>
        <v/>
      </c>
      <c r="M109" s="156" t="str">
        <f t="shared" si="57"/>
        <v/>
      </c>
      <c r="N109" s="156" t="str">
        <f t="shared" si="57"/>
        <v/>
      </c>
      <c r="O109" s="157"/>
      <c r="Q109" s="145" t="s">
        <v>439</v>
      </c>
      <c r="R109" s="145" t="str">
        <f>RSDTechsCE!B102</f>
        <v>R_ES-SH-SD_ELC05</v>
      </c>
      <c r="S109" s="145" t="str">
        <f>RSDTechsCE!C102&amp;" ("&amp;RSDTechsCE!D102&amp;")"</f>
        <v>Heat Pump Air-to-Water_SH-WH-SC (SD)</v>
      </c>
      <c r="T109" s="145" t="s">
        <v>31</v>
      </c>
      <c r="U109" s="145" t="s">
        <v>440</v>
      </c>
      <c r="X109" s="158"/>
    </row>
    <row r="110" spans="1:24" x14ac:dyDescent="0.25">
      <c r="A110" s="145" t="str">
        <f t="shared" si="28"/>
        <v>R_ES-SH-SD_ELC06</v>
      </c>
      <c r="B110" s="145" t="str">
        <f>RSDTechsCE!F103</f>
        <v>RSDELC</v>
      </c>
      <c r="C110" s="145" t="str">
        <f>IF(RSDTechsCE!G103="","",RSDTechsCE!G103)</f>
        <v>RSDGHT</v>
      </c>
      <c r="D110" s="145" t="str">
        <f>IF(RSDTechsCE!H103="","",RSDTechsCE!H103)</f>
        <v>R_ES-SD-SpHeat, R_ES-SD-WatHeat</v>
      </c>
      <c r="E110" s="156">
        <v>2011</v>
      </c>
      <c r="F110" s="156">
        <f>RSDTechsCE!K103</f>
        <v>20</v>
      </c>
      <c r="G110" s="157">
        <v>1</v>
      </c>
      <c r="H110" s="156" t="str">
        <f t="shared" ref="H110:N110" si="58">IF(ISBLANK(H67),"",H67)</f>
        <v/>
      </c>
      <c r="I110" s="156" t="str">
        <f t="shared" si="58"/>
        <v/>
      </c>
      <c r="J110" s="156" t="str">
        <f t="shared" si="58"/>
        <v/>
      </c>
      <c r="K110" s="156">
        <f t="shared" si="58"/>
        <v>3</v>
      </c>
      <c r="L110" s="156" t="str">
        <f t="shared" si="58"/>
        <v/>
      </c>
      <c r="M110" s="156" t="str">
        <f t="shared" si="58"/>
        <v/>
      </c>
      <c r="N110" s="156" t="str">
        <f t="shared" si="58"/>
        <v/>
      </c>
      <c r="O110" s="157"/>
      <c r="Q110" s="145" t="s">
        <v>439</v>
      </c>
      <c r="R110" s="145" t="str">
        <f>RSDTechsCE!B103</f>
        <v>R_ES-SH-SD_ELC06</v>
      </c>
      <c r="S110" s="145" t="str">
        <f>RSDTechsCE!C103&amp;" ("&amp;RSDTechsCE!D103&amp;")"</f>
        <v>Heat Pump Ground Source Horizontal_SH-WH (SD)</v>
      </c>
      <c r="T110" s="145" t="s">
        <v>31</v>
      </c>
      <c r="U110" s="145" t="s">
        <v>440</v>
      </c>
      <c r="X110" s="158"/>
    </row>
    <row r="111" spans="1:24" x14ac:dyDescent="0.25">
      <c r="A111" s="145" t="str">
        <f t="shared" si="28"/>
        <v>R_ES-SH-SD_ELC07</v>
      </c>
      <c r="B111" s="145" t="str">
        <f>RSDTechsCE!F104</f>
        <v>RSDELC</v>
      </c>
      <c r="C111" s="145" t="str">
        <f>IF(RSDTechsCE!G104="","",RSDTechsCE!G104)</f>
        <v>RSDGHT</v>
      </c>
      <c r="D111" s="145" t="str">
        <f>IF(RSDTechsCE!H104="","",RSDTechsCE!H104)</f>
        <v>R_ES-SD-SpHeat, R_ES-SD-WatHeat, R_ES-SD-SpCool</v>
      </c>
      <c r="E111" s="156">
        <v>2011</v>
      </c>
      <c r="F111" s="156">
        <f>RSDTechsCE!K104</f>
        <v>20</v>
      </c>
      <c r="G111" s="157">
        <v>1</v>
      </c>
      <c r="H111" s="156" t="str">
        <f t="shared" ref="H111:N111" si="59">IF(ISBLANK(H68),"",H68)</f>
        <v/>
      </c>
      <c r="I111" s="156" t="str">
        <f t="shared" si="59"/>
        <v/>
      </c>
      <c r="J111" s="156">
        <f t="shared" si="59"/>
        <v>5</v>
      </c>
      <c r="K111" s="156">
        <f t="shared" si="59"/>
        <v>3</v>
      </c>
      <c r="L111" s="156" t="str">
        <f t="shared" si="59"/>
        <v/>
      </c>
      <c r="M111" s="156" t="str">
        <f t="shared" si="59"/>
        <v/>
      </c>
      <c r="N111" s="156" t="str">
        <f t="shared" si="59"/>
        <v/>
      </c>
      <c r="O111" s="157"/>
      <c r="Q111" s="145" t="s">
        <v>439</v>
      </c>
      <c r="R111" s="145" t="str">
        <f>RSDTechsCE!B104</f>
        <v>R_ES-SH-SD_ELC07</v>
      </c>
      <c r="S111" s="145" t="str">
        <f>RSDTechsCE!C104&amp;" ("&amp;RSDTechsCE!D104&amp;")"</f>
        <v>Heat Pump Ground Source Horizontal_SH-WH-SC (SD)</v>
      </c>
      <c r="T111" s="145" t="s">
        <v>31</v>
      </c>
      <c r="U111" s="145" t="s">
        <v>440</v>
      </c>
      <c r="X111" s="158"/>
    </row>
    <row r="112" spans="1:24" x14ac:dyDescent="0.25">
      <c r="A112" s="145" t="str">
        <f t="shared" si="28"/>
        <v>R_ES-SH-SD_ELC08</v>
      </c>
      <c r="B112" s="145" t="str">
        <f>RSDTechsCE!F105</f>
        <v>RSDELC</v>
      </c>
      <c r="C112" s="145" t="str">
        <f>IF(RSDTechsCE!G105="","",RSDTechsCE!G105)</f>
        <v>RSDGHT</v>
      </c>
      <c r="D112" s="145" t="str">
        <f>IF(RSDTechsCE!H105="","",RSDTechsCE!H105)</f>
        <v>R_ES-SD-SpHeat, R_ES-SD-WatHeat</v>
      </c>
      <c r="E112" s="156">
        <v>2011</v>
      </c>
      <c r="F112" s="156">
        <f>RSDTechsCE!K105</f>
        <v>20</v>
      </c>
      <c r="G112" s="157">
        <v>1</v>
      </c>
      <c r="H112" s="156" t="str">
        <f t="shared" ref="H112:N112" si="60">IF(ISBLANK(H69),"",H69)</f>
        <v/>
      </c>
      <c r="I112" s="156" t="str">
        <f t="shared" si="60"/>
        <v/>
      </c>
      <c r="J112" s="156" t="str">
        <f t="shared" si="60"/>
        <v/>
      </c>
      <c r="K112" s="156">
        <f t="shared" si="60"/>
        <v>3</v>
      </c>
      <c r="L112" s="156" t="str">
        <f t="shared" si="60"/>
        <v/>
      </c>
      <c r="M112" s="156" t="str">
        <f t="shared" si="60"/>
        <v/>
      </c>
      <c r="N112" s="156" t="str">
        <f t="shared" si="60"/>
        <v/>
      </c>
      <c r="O112" s="157"/>
      <c r="Q112" s="145" t="s">
        <v>439</v>
      </c>
      <c r="R112" s="145" t="str">
        <f>RSDTechsCE!B105</f>
        <v>R_ES-SH-SD_ELC08</v>
      </c>
      <c r="S112" s="145" t="str">
        <f>RSDTechsCE!C105&amp;" ("&amp;RSDTechsCE!D105&amp;")"</f>
        <v>Heat Pump Ground Source Vertical_SH-WH (SD)</v>
      </c>
      <c r="T112" s="145" t="s">
        <v>31</v>
      </c>
      <c r="U112" s="145" t="s">
        <v>440</v>
      </c>
      <c r="X112" s="158"/>
    </row>
    <row r="113" spans="1:24" x14ac:dyDescent="0.25">
      <c r="A113" s="145" t="str">
        <f t="shared" si="28"/>
        <v>R_ES-SH-SD_ELC09</v>
      </c>
      <c r="B113" s="145" t="str">
        <f>RSDTechsCE!F106</f>
        <v>RSDELC</v>
      </c>
      <c r="C113" s="145" t="str">
        <f>IF(RSDTechsCE!G106="","",RSDTechsCE!G106)</f>
        <v>RSDGHT</v>
      </c>
      <c r="D113" s="145" t="str">
        <f>IF(RSDTechsCE!H106="","",RSDTechsCE!H106)</f>
        <v>R_ES-SD-SpHeat, R_ES-SD-WatHeat, R_ES-SD-SpCool</v>
      </c>
      <c r="E113" s="156">
        <v>2011</v>
      </c>
      <c r="F113" s="156">
        <f>RSDTechsCE!K106</f>
        <v>20</v>
      </c>
      <c r="G113" s="157">
        <v>1</v>
      </c>
      <c r="H113" s="156" t="str">
        <f t="shared" ref="H113:N113" si="61">IF(ISBLANK(H70),"",H70)</f>
        <v/>
      </c>
      <c r="I113" s="156" t="str">
        <f t="shared" si="61"/>
        <v/>
      </c>
      <c r="J113" s="156">
        <f t="shared" si="61"/>
        <v>5</v>
      </c>
      <c r="K113" s="156">
        <f t="shared" si="61"/>
        <v>3</v>
      </c>
      <c r="L113" s="156" t="str">
        <f t="shared" si="61"/>
        <v/>
      </c>
      <c r="M113" s="156" t="str">
        <f t="shared" si="61"/>
        <v/>
      </c>
      <c r="N113" s="156" t="str">
        <f t="shared" si="61"/>
        <v/>
      </c>
      <c r="O113" s="157"/>
      <c r="Q113" s="145" t="s">
        <v>439</v>
      </c>
      <c r="R113" s="145" t="str">
        <f>RSDTechsCE!B106</f>
        <v>R_ES-SH-SD_ELC09</v>
      </c>
      <c r="S113" s="145" t="str">
        <f>RSDTechsCE!C106&amp;" ("&amp;RSDTechsCE!D106&amp;")"</f>
        <v>Heat Pump Ground Source Vertical_SH-WH-SC (SD)</v>
      </c>
      <c r="T113" s="145" t="s">
        <v>31</v>
      </c>
      <c r="U113" s="145" t="s">
        <v>440</v>
      </c>
      <c r="X113" s="158"/>
    </row>
    <row r="114" spans="1:24" x14ac:dyDescent="0.25">
      <c r="A114" s="145" t="str">
        <f t="shared" si="28"/>
        <v>R_ES-SH-SD_ELC10</v>
      </c>
      <c r="B114" s="145" t="str">
        <f>RSDTechsCE!F107</f>
        <v>RSDELC</v>
      </c>
      <c r="C114" s="145" t="str">
        <f>IF(RSDTechsCE!G107="","",RSDTechsCE!G107)</f>
        <v>RSDGHT</v>
      </c>
      <c r="D114" s="145" t="str">
        <f>IF(RSDTechsCE!H107="","",RSDTechsCE!H107)</f>
        <v>R_ES-SD-SpHeat, R_ES-SD-WatHeat</v>
      </c>
      <c r="E114" s="156">
        <v>2011</v>
      </c>
      <c r="F114" s="156">
        <f>RSDTechsCE!K107</f>
        <v>25</v>
      </c>
      <c r="G114" s="157">
        <v>1</v>
      </c>
      <c r="H114" s="156" t="str">
        <f t="shared" ref="H114:N114" si="62">IF(ISBLANK(H71),"",H71)</f>
        <v/>
      </c>
      <c r="I114" s="156" t="str">
        <f t="shared" si="62"/>
        <v/>
      </c>
      <c r="J114" s="156" t="str">
        <f t="shared" si="62"/>
        <v/>
      </c>
      <c r="K114" s="156">
        <f t="shared" si="62"/>
        <v>3.9279999999999999</v>
      </c>
      <c r="L114" s="156" t="str">
        <f t="shared" si="62"/>
        <v/>
      </c>
      <c r="M114" s="156" t="str">
        <f t="shared" si="62"/>
        <v/>
      </c>
      <c r="N114" s="156" t="str">
        <f t="shared" si="62"/>
        <v/>
      </c>
      <c r="O114" s="157"/>
      <c r="Q114" s="145" t="s">
        <v>439</v>
      </c>
      <c r="R114" s="145" t="str">
        <f>RSDTechsCE!B107</f>
        <v>R_ES-SH-SD_ELC10</v>
      </c>
      <c r="S114" s="145" t="str">
        <f>RSDTechsCE!C107&amp;" ("&amp;RSDTechsCE!D107&amp;")"</f>
        <v>Heat Pump Groundwater_SH-WH (SD)</v>
      </c>
      <c r="T114" s="145" t="s">
        <v>31</v>
      </c>
      <c r="U114" s="145" t="s">
        <v>440</v>
      </c>
      <c r="X114" s="158"/>
    </row>
    <row r="115" spans="1:24" x14ac:dyDescent="0.25">
      <c r="A115" s="159" t="str">
        <f t="shared" si="28"/>
        <v>R_ES-SH-SD_ELC11</v>
      </c>
      <c r="B115" s="159" t="str">
        <f>RSDTechsCE!F108</f>
        <v>RSDELC</v>
      </c>
      <c r="C115" s="159" t="str">
        <f>IF(RSDTechsCE!G108="","",RSDTechsCE!G108)</f>
        <v>RSDGHT</v>
      </c>
      <c r="D115" s="159" t="str">
        <f>IF(RSDTechsCE!H108="","",RSDTechsCE!H108)</f>
        <v>R_ES-SD-SpHeat, R_ES-SD-WatHeat, R_ES-SD-SpCool</v>
      </c>
      <c r="E115" s="160">
        <v>2011</v>
      </c>
      <c r="F115" s="160">
        <f>RSDTechsCE!K108</f>
        <v>25</v>
      </c>
      <c r="G115" s="161">
        <v>1</v>
      </c>
      <c r="H115" s="160" t="str">
        <f t="shared" ref="H115:N115" si="63">IF(ISBLANK(H72),"",H72)</f>
        <v/>
      </c>
      <c r="I115" s="160" t="str">
        <f t="shared" si="63"/>
        <v/>
      </c>
      <c r="J115" s="160">
        <f t="shared" si="63"/>
        <v>5</v>
      </c>
      <c r="K115" s="160">
        <f t="shared" si="63"/>
        <v>3.9279999999999999</v>
      </c>
      <c r="L115" s="160" t="str">
        <f t="shared" si="63"/>
        <v/>
      </c>
      <c r="M115" s="160" t="str">
        <f t="shared" si="63"/>
        <v/>
      </c>
      <c r="N115" s="160" t="str">
        <f t="shared" si="63"/>
        <v/>
      </c>
      <c r="O115" s="161"/>
      <c r="Q115" s="159" t="s">
        <v>439</v>
      </c>
      <c r="R115" s="159" t="str">
        <f>RSDTechsCE!B108</f>
        <v>R_ES-SH-SD_ELC11</v>
      </c>
      <c r="S115" s="159" t="str">
        <f>RSDTechsCE!C108&amp;" ("&amp;RSDTechsCE!D108&amp;")"</f>
        <v>Heat Pump Groundwater_SH-WH-SC (SD)</v>
      </c>
      <c r="T115" s="159" t="s">
        <v>31</v>
      </c>
      <c r="U115" s="159" t="s">
        <v>440</v>
      </c>
      <c r="V115" s="159"/>
      <c r="W115" s="159"/>
      <c r="X115" s="162"/>
    </row>
    <row r="116" spans="1:24" x14ac:dyDescent="0.25">
      <c r="A116" s="145" t="str">
        <f t="shared" si="28"/>
        <v>R_ES-SH-SD_GAS03</v>
      </c>
      <c r="B116" s="145" t="str">
        <f>RSDTechsCE!F109</f>
        <v>RSDGAS, RSDLPG, RSDBGS</v>
      </c>
      <c r="C116" s="145" t="str">
        <f>IF(RSDTechsCE!G109="","",RSDTechsCE!G109)</f>
        <v>RSDAHT</v>
      </c>
      <c r="D116" s="145" t="str">
        <f>IF(RSDTechsCE!H109="","",RSDTechsCE!H109)</f>
        <v>R_ES-SD-SpHeat, R_ES-SD-WatHeat</v>
      </c>
      <c r="E116" s="156">
        <v>2011</v>
      </c>
      <c r="F116" s="156">
        <f>RSDTechsCE!K109</f>
        <v>22</v>
      </c>
      <c r="G116" s="157">
        <v>1</v>
      </c>
      <c r="H116" s="156" t="str">
        <f t="shared" ref="H116:N116" si="64">IF(ISBLANK(H73),"",H73)</f>
        <v/>
      </c>
      <c r="I116" s="156" t="str">
        <f t="shared" si="64"/>
        <v/>
      </c>
      <c r="J116" s="156" t="str">
        <f t="shared" si="64"/>
        <v/>
      </c>
      <c r="K116" s="156">
        <f t="shared" si="64"/>
        <v>1.7</v>
      </c>
      <c r="L116" s="156" t="str">
        <f t="shared" si="64"/>
        <v/>
      </c>
      <c r="M116" s="156" t="str">
        <f t="shared" si="64"/>
        <v/>
      </c>
      <c r="N116" s="156" t="str">
        <f t="shared" si="64"/>
        <v/>
      </c>
      <c r="O116" s="157"/>
      <c r="Q116" s="145" t="s">
        <v>439</v>
      </c>
      <c r="R116" s="145" t="str">
        <f>RSDTechsCE!B109</f>
        <v>R_ES-SH-SD_GAS03</v>
      </c>
      <c r="S116" s="145" t="str">
        <f>RSDTechsCE!C109&amp;" ("&amp;RSDTechsCE!D109&amp;")"</f>
        <v>Gas/LPG-driven Heat Pump absorption Air-to-Water_SH-WH (SD)</v>
      </c>
      <c r="T116" s="145" t="s">
        <v>31</v>
      </c>
      <c r="U116" s="145" t="s">
        <v>440</v>
      </c>
      <c r="X116" s="158"/>
    </row>
    <row r="117" spans="1:24" x14ac:dyDescent="0.25">
      <c r="A117" s="145" t="str">
        <f t="shared" si="28"/>
        <v>R_ES-SH-SD_GAS04</v>
      </c>
      <c r="B117" s="145" t="str">
        <f>RSDTechsCE!F110</f>
        <v>RSDGAS, RSDLPG, RSDBGS</v>
      </c>
      <c r="C117" s="145" t="str">
        <f>IF(RSDTechsCE!G110="","",RSDTechsCE!G110)</f>
        <v>RSDAHT</v>
      </c>
      <c r="D117" s="145" t="str">
        <f>IF(RSDTechsCE!H110="","",RSDTechsCE!H110)</f>
        <v>R_ES-SD-SpHeat, R_ES-SD-WatHeat, R_ES-SD-SpCool</v>
      </c>
      <c r="E117" s="156">
        <v>2011</v>
      </c>
      <c r="F117" s="156">
        <f>RSDTechsCE!K110</f>
        <v>22</v>
      </c>
      <c r="G117" s="157">
        <v>1</v>
      </c>
      <c r="H117" s="156" t="str">
        <f t="shared" ref="H117:N117" si="65">IF(ISBLANK(H74),"",H74)</f>
        <v/>
      </c>
      <c r="I117" s="156" t="str">
        <f t="shared" si="65"/>
        <v/>
      </c>
      <c r="J117" s="156">
        <f t="shared" si="65"/>
        <v>3</v>
      </c>
      <c r="K117" s="156">
        <f t="shared" si="65"/>
        <v>1.7</v>
      </c>
      <c r="L117" s="156" t="str">
        <f t="shared" si="65"/>
        <v/>
      </c>
      <c r="M117" s="156" t="str">
        <f t="shared" si="65"/>
        <v/>
      </c>
      <c r="N117" s="156" t="str">
        <f t="shared" si="65"/>
        <v/>
      </c>
      <c r="O117" s="157"/>
      <c r="Q117" s="145" t="s">
        <v>439</v>
      </c>
      <c r="R117" s="145" t="str">
        <f>RSDTechsCE!B110</f>
        <v>R_ES-SH-SD_GAS04</v>
      </c>
      <c r="S117" s="145" t="str">
        <f>RSDTechsCE!C110&amp;" ("&amp;RSDTechsCE!D110&amp;")"</f>
        <v>Gas/LPG-driven Heat Pump absorption Air-to-Water_SH-WH-SC (SD)</v>
      </c>
      <c r="T117" s="145" t="s">
        <v>31</v>
      </c>
      <c r="U117" s="145" t="s">
        <v>440</v>
      </c>
      <c r="X117" s="158"/>
    </row>
    <row r="118" spans="1:24" x14ac:dyDescent="0.25">
      <c r="A118" s="145" t="str">
        <f t="shared" si="28"/>
        <v>R_ES-SH-SD_GAS05</v>
      </c>
      <c r="B118" s="145" t="str">
        <f>RSDTechsCE!F111</f>
        <v>RSDGAS, RSDLPG, RSDBGS</v>
      </c>
      <c r="C118" s="145" t="str">
        <f>IF(RSDTechsCE!G111="","",RSDTechsCE!G111)</f>
        <v>RSDAHT</v>
      </c>
      <c r="D118" s="145" t="str">
        <f>IF(RSDTechsCE!H111="","",RSDTechsCE!H111)</f>
        <v>R_ES-SD-SpHeat, R_ES-SD-WatHeat</v>
      </c>
      <c r="E118" s="156">
        <v>2011</v>
      </c>
      <c r="F118" s="156">
        <f>RSDTechsCE!K111</f>
        <v>20</v>
      </c>
      <c r="G118" s="157">
        <v>1</v>
      </c>
      <c r="H118" s="156" t="str">
        <f t="shared" ref="H118:N118" si="66">IF(ISBLANK(H75),"",H75)</f>
        <v/>
      </c>
      <c r="I118" s="156" t="str">
        <f t="shared" si="66"/>
        <v/>
      </c>
      <c r="J118" s="156" t="str">
        <f t="shared" si="66"/>
        <v/>
      </c>
      <c r="K118" s="156">
        <f t="shared" si="66"/>
        <v>1.1200000000000001</v>
      </c>
      <c r="L118" s="156" t="str">
        <f t="shared" si="66"/>
        <v/>
      </c>
      <c r="M118" s="156" t="str">
        <f t="shared" si="66"/>
        <v/>
      </c>
      <c r="N118" s="156" t="str">
        <f t="shared" si="66"/>
        <v/>
      </c>
      <c r="O118" s="157"/>
      <c r="Q118" s="145" t="s">
        <v>439</v>
      </c>
      <c r="R118" s="145" t="str">
        <f>RSDTechsCE!B111</f>
        <v>R_ES-SH-SD_GAS05</v>
      </c>
      <c r="S118" s="145" t="str">
        <f>RSDTechsCE!C111&amp;" ("&amp;RSDTechsCE!D111&amp;")"</f>
        <v>Gas/LPG-driven Heat Pump absorption brine to water + Solar th collectors_SH-WH (SD)</v>
      </c>
      <c r="T118" s="145" t="s">
        <v>31</v>
      </c>
      <c r="U118" s="145" t="s">
        <v>440</v>
      </c>
      <c r="X118" s="158"/>
    </row>
    <row r="119" spans="1:24" x14ac:dyDescent="0.25">
      <c r="A119" s="145" t="str">
        <f t="shared" si="28"/>
        <v>R_ES-SH-SD_GAS06</v>
      </c>
      <c r="B119" s="145" t="str">
        <f>RSDTechsCE!F112</f>
        <v>RSDGAS, RSDLPG, RSDBGS</v>
      </c>
      <c r="C119" s="145" t="str">
        <f>IF(RSDTechsCE!G112="","",RSDTechsCE!G112)</f>
        <v>RSDAHT</v>
      </c>
      <c r="D119" s="145" t="str">
        <f>IF(RSDTechsCE!H112="","",RSDTechsCE!H112)</f>
        <v>R_ES-SD-SpHeat, R_ES-SD-WatHeat, R_ES-SD-SpCool</v>
      </c>
      <c r="E119" s="156">
        <v>2011</v>
      </c>
      <c r="F119" s="156">
        <f>RSDTechsCE!K112</f>
        <v>20</v>
      </c>
      <c r="G119" s="157">
        <v>1</v>
      </c>
      <c r="H119" s="156" t="str">
        <f t="shared" ref="H119:N119" si="67">IF(ISBLANK(H76),"",H76)</f>
        <v/>
      </c>
      <c r="I119" s="156" t="str">
        <f t="shared" si="67"/>
        <v/>
      </c>
      <c r="J119" s="156">
        <f t="shared" si="67"/>
        <v>3</v>
      </c>
      <c r="K119" s="156">
        <f t="shared" si="67"/>
        <v>1.1200000000000001</v>
      </c>
      <c r="L119" s="156" t="str">
        <f t="shared" si="67"/>
        <v/>
      </c>
      <c r="M119" s="156" t="str">
        <f t="shared" si="67"/>
        <v/>
      </c>
      <c r="N119" s="156" t="str">
        <f t="shared" si="67"/>
        <v/>
      </c>
      <c r="O119" s="157"/>
      <c r="Q119" s="145" t="s">
        <v>439</v>
      </c>
      <c r="R119" s="145" t="str">
        <f>RSDTechsCE!B112</f>
        <v>R_ES-SH-SD_GAS06</v>
      </c>
      <c r="S119" s="145" t="str">
        <f>RSDTechsCE!C112&amp;" ("&amp;RSDTechsCE!D112&amp;")"</f>
        <v>Gas/LPG-driven Heat Pump absorption brine to water + Solar th collectors_SH-WH-SC (SD)</v>
      </c>
      <c r="T119" s="145" t="s">
        <v>31</v>
      </c>
      <c r="U119" s="145" t="s">
        <v>440</v>
      </c>
      <c r="X119" s="158"/>
    </row>
    <row r="120" spans="1:24" x14ac:dyDescent="0.25">
      <c r="A120" s="145" t="str">
        <f t="shared" si="28"/>
        <v>R_ES-SH-SD_GAS07</v>
      </c>
      <c r="B120" s="145" t="str">
        <f>RSDTechsCE!F113</f>
        <v>RSDGAS, RSDLPG, RSDBGS</v>
      </c>
      <c r="C120" s="145" t="str">
        <f>IF(RSDTechsCE!G113="","",RSDTechsCE!G113)</f>
        <v>RSDAHT</v>
      </c>
      <c r="D120" s="145" t="str">
        <f>IF(RSDTechsCE!H113="","",RSDTechsCE!H113)</f>
        <v>R_ES-SD-SpHeat, R_ES-SD-WatHeat</v>
      </c>
      <c r="E120" s="156">
        <v>2011</v>
      </c>
      <c r="F120" s="156">
        <f>RSDTechsCE!K113</f>
        <v>20</v>
      </c>
      <c r="G120" s="157">
        <v>1</v>
      </c>
      <c r="H120" s="156" t="str">
        <f t="shared" ref="H120:N120" si="68">IF(ISBLANK(H77),"",H77)</f>
        <v/>
      </c>
      <c r="I120" s="156" t="str">
        <f t="shared" si="68"/>
        <v/>
      </c>
      <c r="J120" s="156" t="str">
        <f t="shared" si="68"/>
        <v/>
      </c>
      <c r="K120" s="156">
        <f t="shared" si="68"/>
        <v>1.55</v>
      </c>
      <c r="L120" s="156" t="str">
        <f t="shared" si="68"/>
        <v/>
      </c>
      <c r="M120" s="156" t="str">
        <f t="shared" si="68"/>
        <v/>
      </c>
      <c r="N120" s="156" t="str">
        <f t="shared" si="68"/>
        <v/>
      </c>
      <c r="O120" s="157"/>
      <c r="Q120" s="145" t="s">
        <v>439</v>
      </c>
      <c r="R120" s="145" t="str">
        <f>RSDTechsCE!B113</f>
        <v>R_ES-SH-SD_GAS07</v>
      </c>
      <c r="S120" s="145" t="str">
        <f>RSDTechsCE!C113&amp;" ("&amp;RSDTechsCE!D113&amp;")"</f>
        <v>Gas/LPG-driven Heat Pump engine Air-to-Water_SH-WH (SD)</v>
      </c>
      <c r="T120" s="145" t="s">
        <v>31</v>
      </c>
      <c r="U120" s="145" t="s">
        <v>440</v>
      </c>
      <c r="X120" s="158"/>
    </row>
    <row r="121" spans="1:24" x14ac:dyDescent="0.25">
      <c r="A121" s="159" t="str">
        <f t="shared" si="28"/>
        <v>R_ES-SH-SD_GAS08</v>
      </c>
      <c r="B121" s="159" t="str">
        <f>RSDTechsCE!F114</f>
        <v>RSDGAS, RSDLPG, RSDBGS</v>
      </c>
      <c r="C121" s="159" t="str">
        <f>IF(RSDTechsCE!G114="","",RSDTechsCE!G114)</f>
        <v>RSDAHT</v>
      </c>
      <c r="D121" s="159" t="str">
        <f>IF(RSDTechsCE!H114="","",RSDTechsCE!H114)</f>
        <v>R_ES-SD-SpHeat, R_ES-SD-WatHeat, R_ES-SD-SpCool</v>
      </c>
      <c r="E121" s="160">
        <v>2011</v>
      </c>
      <c r="F121" s="160">
        <f>RSDTechsCE!K114</f>
        <v>20</v>
      </c>
      <c r="G121" s="161">
        <v>1</v>
      </c>
      <c r="H121" s="160" t="str">
        <f t="shared" ref="H121:N121" si="69">IF(ISBLANK(H78),"",H78)</f>
        <v/>
      </c>
      <c r="I121" s="160" t="str">
        <f t="shared" si="69"/>
        <v/>
      </c>
      <c r="J121" s="160">
        <f t="shared" si="69"/>
        <v>3</v>
      </c>
      <c r="K121" s="160">
        <f t="shared" si="69"/>
        <v>1.55</v>
      </c>
      <c r="L121" s="160" t="str">
        <f t="shared" si="69"/>
        <v/>
      </c>
      <c r="M121" s="160" t="str">
        <f t="shared" si="69"/>
        <v/>
      </c>
      <c r="N121" s="160" t="str">
        <f t="shared" si="69"/>
        <v/>
      </c>
      <c r="O121" s="161"/>
      <c r="Q121" s="159" t="s">
        <v>439</v>
      </c>
      <c r="R121" s="159" t="str">
        <f>RSDTechsCE!B114</f>
        <v>R_ES-SH-SD_GAS08</v>
      </c>
      <c r="S121" s="159" t="str">
        <f>RSDTechsCE!C114&amp;" ("&amp;RSDTechsCE!D114&amp;")"</f>
        <v>Gas/LPG-driven Heat Pump engine Air-to-Water_SH-WH-SC (SD)</v>
      </c>
      <c r="T121" s="159" t="s">
        <v>31</v>
      </c>
      <c r="U121" s="159" t="s">
        <v>440</v>
      </c>
      <c r="V121" s="159"/>
      <c r="W121" s="159"/>
      <c r="X121" s="162"/>
    </row>
    <row r="122" spans="1:24" x14ac:dyDescent="0.25">
      <c r="A122" s="145" t="str">
        <f t="shared" si="28"/>
        <v>R_ES-CHP-SD_GAS01</v>
      </c>
      <c r="B122" s="145" t="str">
        <f>RSDTechsCE!F115</f>
        <v>RSDGAS, RSDLPG, RSDBGS</v>
      </c>
      <c r="C122" s="145" t="str">
        <f>IF(RSDTechsCE!G115="","",RSDTechsCE!G115)</f>
        <v/>
      </c>
      <c r="D122" s="145" t="str">
        <f>IF(RSDTechsCE!H115="","",RSDTechsCE!H115)</f>
        <v>RSDELC, R_ES-SD-SpHeat,R_ES-SD-WatHeat</v>
      </c>
      <c r="E122" s="156">
        <v>2011</v>
      </c>
      <c r="F122" s="156">
        <f>RSDTechsCE!K115</f>
        <v>10</v>
      </c>
      <c r="G122" s="157">
        <v>1</v>
      </c>
      <c r="H122" s="156">
        <f t="shared" ref="H122:N122" si="70">IF(ISBLANK(H79),"",H79)</f>
        <v>0.26</v>
      </c>
      <c r="I122" s="156" t="str">
        <f t="shared" si="70"/>
        <v/>
      </c>
      <c r="J122" s="156" t="str">
        <f t="shared" si="70"/>
        <v/>
      </c>
      <c r="K122" s="156" t="str">
        <f t="shared" si="70"/>
        <v/>
      </c>
      <c r="L122" s="156">
        <f t="shared" si="70"/>
        <v>2.4615384615384617</v>
      </c>
      <c r="M122" s="156">
        <f t="shared" si="70"/>
        <v>2.4615384615384617</v>
      </c>
      <c r="N122" s="156">
        <f t="shared" si="70"/>
        <v>2.4615384615384617</v>
      </c>
      <c r="O122" s="157"/>
      <c r="Q122" s="145" t="s">
        <v>388</v>
      </c>
      <c r="R122" s="145" t="str">
        <f>RSDTechsCE!B115</f>
        <v>R_ES-CHP-SD_GAS01</v>
      </c>
      <c r="S122" s="145" t="str">
        <f>RSDTechsCE!C115&amp;" ("&amp;RSDTechsCE!D115&amp;")"</f>
        <v>CHP engines – Natural Gas micro turbine  (SD)</v>
      </c>
      <c r="T122" s="145" t="s">
        <v>31</v>
      </c>
      <c r="U122" s="145" t="s">
        <v>440</v>
      </c>
      <c r="X122" s="158"/>
    </row>
    <row r="123" spans="1:24" x14ac:dyDescent="0.25">
      <c r="A123" s="145" t="str">
        <f t="shared" si="28"/>
        <v>R_ES-CHP-SD_OIL01</v>
      </c>
      <c r="B123" s="145" t="str">
        <f>RSDTechsCE!F116</f>
        <v>RSDOIL, RSDBDL</v>
      </c>
      <c r="C123" s="145" t="str">
        <f>IF(RSDTechsCE!G116="","",RSDTechsCE!G116)</f>
        <v/>
      </c>
      <c r="D123" s="145" t="str">
        <f>IF(RSDTechsCE!H116="","",RSDTechsCE!H116)</f>
        <v>RSDELC, R_ES-SD-SpHeat,R_ES-SD-WatHeat</v>
      </c>
      <c r="E123" s="156">
        <v>2011</v>
      </c>
      <c r="F123" s="156">
        <f>RSDTechsCE!K116</f>
        <v>10</v>
      </c>
      <c r="G123" s="157">
        <v>1</v>
      </c>
      <c r="H123" s="156">
        <f t="shared" ref="H123:N123" si="71">IF(ISBLANK(H80),"",H80)</f>
        <v>0.26</v>
      </c>
      <c r="I123" s="156" t="str">
        <f t="shared" si="71"/>
        <v/>
      </c>
      <c r="J123" s="156" t="str">
        <f t="shared" si="71"/>
        <v/>
      </c>
      <c r="K123" s="156" t="str">
        <f t="shared" si="71"/>
        <v/>
      </c>
      <c r="L123" s="156">
        <f t="shared" si="71"/>
        <v>2.4615384615384617</v>
      </c>
      <c r="M123" s="156">
        <f t="shared" si="71"/>
        <v>2.4615384615384617</v>
      </c>
      <c r="N123" s="156">
        <f t="shared" si="71"/>
        <v>2.4615384615384617</v>
      </c>
      <c r="O123" s="157"/>
      <c r="Q123" s="145" t="s">
        <v>388</v>
      </c>
      <c r="R123" s="145" t="str">
        <f>RSDTechsCE!B116</f>
        <v>R_ES-CHP-SD_OIL01</v>
      </c>
      <c r="S123" s="145" t="str">
        <f>RSDTechsCE!C116&amp;" ("&amp;RSDTechsCE!D116&amp;")"</f>
        <v>CHP engines – Diesel micro turbine  (SD)</v>
      </c>
      <c r="T123" s="145" t="s">
        <v>31</v>
      </c>
      <c r="U123" s="145" t="s">
        <v>440</v>
      </c>
      <c r="X123" s="158"/>
    </row>
    <row r="124" spans="1:24" x14ac:dyDescent="0.25">
      <c r="A124" s="145" t="str">
        <f t="shared" si="28"/>
        <v>R_ES-CHP-SD_GAS02</v>
      </c>
      <c r="B124" s="145" t="str">
        <f>RSDTechsCE!F117</f>
        <v>RSDGAS, RSDLPG, RSDBGS</v>
      </c>
      <c r="C124" s="145" t="str">
        <f>IF(RSDTechsCE!G117="","",RSDTechsCE!G117)</f>
        <v/>
      </c>
      <c r="D124" s="145" t="str">
        <f>IF(RSDTechsCE!H117="","",RSDTechsCE!H117)</f>
        <v>RSDELC, R_ES-SD-SpHeat,R_ES-SD-WatHeat</v>
      </c>
      <c r="E124" s="156">
        <v>2011</v>
      </c>
      <c r="F124" s="156">
        <f>RSDTechsCE!K117</f>
        <v>10</v>
      </c>
      <c r="G124" s="157">
        <v>1</v>
      </c>
      <c r="H124" s="156">
        <f t="shared" ref="H124:N124" si="72">IF(ISBLANK(H81),"",H81)</f>
        <v>0.2</v>
      </c>
      <c r="I124" s="156" t="str">
        <f t="shared" si="72"/>
        <v/>
      </c>
      <c r="J124" s="156" t="str">
        <f t="shared" si="72"/>
        <v/>
      </c>
      <c r="K124" s="156" t="str">
        <f t="shared" si="72"/>
        <v/>
      </c>
      <c r="L124" s="156">
        <f t="shared" si="72"/>
        <v>2.25</v>
      </c>
      <c r="M124" s="156">
        <f t="shared" si="72"/>
        <v>2.1818181818181817</v>
      </c>
      <c r="N124" s="156">
        <f t="shared" si="72"/>
        <v>1.9</v>
      </c>
      <c r="O124" s="157"/>
      <c r="Q124" s="145" t="s">
        <v>388</v>
      </c>
      <c r="R124" s="145" t="str">
        <f>RSDTechsCE!B117</f>
        <v>R_ES-CHP-SD_GAS02</v>
      </c>
      <c r="S124" s="145" t="str">
        <f>RSDTechsCE!C117&amp;" ("&amp;RSDTechsCE!D117&amp;")"</f>
        <v>CHP engines – Natural Gas internal combustion engine (SD)</v>
      </c>
      <c r="T124" s="145" t="s">
        <v>31</v>
      </c>
      <c r="U124" s="145" t="s">
        <v>440</v>
      </c>
      <c r="X124" s="158"/>
    </row>
    <row r="125" spans="1:24" x14ac:dyDescent="0.25">
      <c r="A125" s="145" t="str">
        <f t="shared" si="28"/>
        <v>R_ES-CHP-SD_OIL02</v>
      </c>
      <c r="B125" s="145" t="str">
        <f>RSDTechsCE!F118</f>
        <v>RSDOIL, RSDBDL</v>
      </c>
      <c r="C125" s="145" t="str">
        <f>IF(RSDTechsCE!G118="","",RSDTechsCE!G118)</f>
        <v/>
      </c>
      <c r="D125" s="145" t="str">
        <f>IF(RSDTechsCE!H118="","",RSDTechsCE!H118)</f>
        <v>RSDELC, R_ES-SD-SpHeat,R_ES-SD-WatHeat</v>
      </c>
      <c r="E125" s="156">
        <v>2011</v>
      </c>
      <c r="F125" s="156">
        <f>RSDTechsCE!K118</f>
        <v>10</v>
      </c>
      <c r="G125" s="157">
        <v>1</v>
      </c>
      <c r="H125" s="156">
        <f t="shared" ref="H125:N125" si="73">IF(ISBLANK(H82),"",H82)</f>
        <v>0.2</v>
      </c>
      <c r="I125" s="156" t="str">
        <f t="shared" si="73"/>
        <v/>
      </c>
      <c r="J125" s="156" t="str">
        <f t="shared" si="73"/>
        <v/>
      </c>
      <c r="K125" s="156" t="str">
        <f t="shared" si="73"/>
        <v/>
      </c>
      <c r="L125" s="156">
        <f t="shared" si="73"/>
        <v>2.25</v>
      </c>
      <c r="M125" s="156">
        <f t="shared" si="73"/>
        <v>2.1818181818181817</v>
      </c>
      <c r="N125" s="156">
        <f t="shared" si="73"/>
        <v>1.9</v>
      </c>
      <c r="O125" s="157"/>
      <c r="Q125" s="145" t="s">
        <v>388</v>
      </c>
      <c r="R125" s="145" t="str">
        <f>RSDTechsCE!B118</f>
        <v>R_ES-CHP-SD_OIL02</v>
      </c>
      <c r="S125" s="145" t="str">
        <f>RSDTechsCE!C118&amp;" ("&amp;RSDTechsCE!D118&amp;")"</f>
        <v>CHP engines – Diesel internal combustion engine  (SD)</v>
      </c>
      <c r="T125" s="145" t="s">
        <v>31</v>
      </c>
      <c r="U125" s="145" t="s">
        <v>440</v>
      </c>
      <c r="X125" s="158"/>
    </row>
    <row r="126" spans="1:24" x14ac:dyDescent="0.25">
      <c r="A126" s="145" t="str">
        <f t="shared" si="28"/>
        <v>R_ES-CHP-SD_GAS03</v>
      </c>
      <c r="B126" s="145" t="str">
        <f>RSDTechsCE!F119</f>
        <v>RSDGAS, RSDLPG, RSDBGS</v>
      </c>
      <c r="C126" s="145" t="str">
        <f>IF(RSDTechsCE!G119="","",RSDTechsCE!G119)</f>
        <v/>
      </c>
      <c r="D126" s="145" t="str">
        <f>IF(RSDTechsCE!H119="","",RSDTechsCE!H119)</f>
        <v>RSDELC, R_ES-SD-SpHeat,R_ES-SD-WatHeat</v>
      </c>
      <c r="E126" s="156">
        <v>2011</v>
      </c>
      <c r="F126" s="156">
        <f>RSDTechsCE!K119</f>
        <v>10</v>
      </c>
      <c r="G126" s="157">
        <v>1</v>
      </c>
      <c r="H126" s="156">
        <f t="shared" ref="H126:N126" si="74">IF(ISBLANK(H83),"",H83)</f>
        <v>0.12</v>
      </c>
      <c r="I126" s="156" t="str">
        <f t="shared" si="74"/>
        <v/>
      </c>
      <c r="J126" s="156" t="str">
        <f t="shared" si="74"/>
        <v/>
      </c>
      <c r="K126" s="156" t="str">
        <f t="shared" si="74"/>
        <v/>
      </c>
      <c r="L126" s="156">
        <f t="shared" si="74"/>
        <v>5.4583333333333339</v>
      </c>
      <c r="M126" s="156">
        <f t="shared" si="74"/>
        <v>4.7142857142857144</v>
      </c>
      <c r="N126" s="156">
        <f t="shared" si="74"/>
        <v>4.1562499999999991</v>
      </c>
      <c r="O126" s="157"/>
      <c r="Q126" s="145" t="s">
        <v>388</v>
      </c>
      <c r="R126" s="145" t="str">
        <f>RSDTechsCE!B119</f>
        <v>R_ES-CHP-SD_GAS03</v>
      </c>
      <c r="S126" s="145" t="str">
        <f>RSDTechsCE!C119&amp;" ("&amp;RSDTechsCE!D119&amp;")"</f>
        <v>CHP engines – Stirling engine (SD)</v>
      </c>
      <c r="T126" s="145" t="s">
        <v>31</v>
      </c>
      <c r="U126" s="145" t="s">
        <v>440</v>
      </c>
      <c r="X126" s="158"/>
    </row>
    <row r="127" spans="1:24" x14ac:dyDescent="0.25">
      <c r="A127" s="145" t="str">
        <f t="shared" si="28"/>
        <v>R_ES-CHP-SD_GAS04</v>
      </c>
      <c r="B127" s="145" t="str">
        <f>RSDTechsCE!F120</f>
        <v>RSDGAS</v>
      </c>
      <c r="C127" s="145" t="str">
        <f>IF(RSDTechsCE!G120="","",RSDTechsCE!G120)</f>
        <v/>
      </c>
      <c r="D127" s="145" t="str">
        <f>IF(RSDTechsCE!H120="","",RSDTechsCE!H120)</f>
        <v>RSDELC, R_ES-SD-SpHeat,R_ES-SD-WatHeat</v>
      </c>
      <c r="E127" s="156">
        <v>2011</v>
      </c>
      <c r="F127" s="156">
        <f>RSDTechsCE!K120</f>
        <v>10</v>
      </c>
      <c r="G127" s="157">
        <v>1</v>
      </c>
      <c r="H127" s="156">
        <f t="shared" ref="H127:N127" si="75">IF(ISBLANK(H84),"",H84)</f>
        <v>0.375</v>
      </c>
      <c r="I127" s="156" t="str">
        <f t="shared" si="75"/>
        <v/>
      </c>
      <c r="J127" s="156" t="str">
        <f t="shared" si="75"/>
        <v/>
      </c>
      <c r="K127" s="156" t="str">
        <f t="shared" si="75"/>
        <v/>
      </c>
      <c r="L127" s="156">
        <f t="shared" si="75"/>
        <v>0.46666666666666679</v>
      </c>
      <c r="M127" s="156">
        <f t="shared" si="75"/>
        <v>0.16666666666666669</v>
      </c>
      <c r="N127" s="156">
        <f t="shared" si="75"/>
        <v>0.10526315789473695</v>
      </c>
      <c r="O127" s="157"/>
      <c r="Q127" s="145" t="s">
        <v>388</v>
      </c>
      <c r="R127" s="145" t="str">
        <f>RSDTechsCE!B120</f>
        <v>R_ES-CHP-SD_GAS04</v>
      </c>
      <c r="S127" s="145" t="str">
        <f>RSDTechsCE!C120&amp;" ("&amp;RSDTechsCE!D120&amp;")"</f>
        <v>CHP fuel cells – Natural Gas fuel cell (SD)</v>
      </c>
      <c r="T127" s="145" t="s">
        <v>31</v>
      </c>
      <c r="U127" s="145" t="s">
        <v>440</v>
      </c>
      <c r="X127" s="158"/>
    </row>
    <row r="128" spans="1:24" x14ac:dyDescent="0.25">
      <c r="A128" s="145" t="str">
        <f t="shared" si="28"/>
        <v>R_ES-CHP-SD_HH201</v>
      </c>
      <c r="B128" s="145" t="str">
        <f>RSDTechsCE!F121</f>
        <v>RSDHH2</v>
      </c>
      <c r="C128" s="145" t="str">
        <f>IF(RSDTechsCE!G121="","",RSDTechsCE!G121)</f>
        <v/>
      </c>
      <c r="D128" s="145" t="str">
        <f>IF(RSDTechsCE!H121="","",RSDTechsCE!H121)</f>
        <v>RSDELC, R_ES-SD-SpHeat,R_ES-SD-WatHeat</v>
      </c>
      <c r="E128" s="156">
        <v>2011</v>
      </c>
      <c r="F128" s="156">
        <f>RSDTechsCE!K121</f>
        <v>10</v>
      </c>
      <c r="G128" s="157">
        <v>1</v>
      </c>
      <c r="H128" s="156">
        <f t="shared" ref="H128:N128" si="76">IF(ISBLANK(H85),"",H85)</f>
        <v>0.47499999999999998</v>
      </c>
      <c r="I128" s="156" t="str">
        <f t="shared" si="76"/>
        <v/>
      </c>
      <c r="J128" s="156" t="str">
        <f t="shared" si="76"/>
        <v/>
      </c>
      <c r="K128" s="156" t="str">
        <f t="shared" si="76"/>
        <v/>
      </c>
      <c r="L128" s="156">
        <f t="shared" si="76"/>
        <v>0.84</v>
      </c>
      <c r="M128" s="156">
        <f t="shared" si="76"/>
        <v>0.84</v>
      </c>
      <c r="N128" s="156">
        <f t="shared" si="76"/>
        <v>0.84</v>
      </c>
      <c r="O128" s="157"/>
      <c r="Q128" s="145" t="s">
        <v>388</v>
      </c>
      <c r="R128" s="145" t="str">
        <f>RSDTechsCE!B121</f>
        <v>R_ES-CHP-SD_HH201</v>
      </c>
      <c r="S128" s="145" t="str">
        <f>RSDTechsCE!C121&amp;" ("&amp;RSDTechsCE!D121&amp;")"</f>
        <v>CHP fuel cells – Hydrogen fuel cell (SD)</v>
      </c>
      <c r="T128" s="145" t="s">
        <v>31</v>
      </c>
      <c r="U128" s="145" t="s">
        <v>440</v>
      </c>
      <c r="X128" s="158"/>
    </row>
    <row r="129" spans="1:24" x14ac:dyDescent="0.25">
      <c r="A129" s="145" t="str">
        <f t="shared" si="28"/>
        <v>R_ES-CHP-SD-GASspl</v>
      </c>
      <c r="B129" s="145" t="str">
        <f>RSDTechsCE!F122</f>
        <v>RSDLPG, RSDBGS, RSDGAS</v>
      </c>
      <c r="C129" s="145" t="str">
        <f>IF(RSDTechsCE!G122="","",RSDTechsCE!G122)</f>
        <v/>
      </c>
      <c r="D129" s="145" t="str">
        <f>IF(RSDTechsCE!H122="","",RSDTechsCE!H122)</f>
        <v>R_ES-SD-SpHeat, R_ES-SD-WatHeat</v>
      </c>
      <c r="E129" s="156">
        <v>2011</v>
      </c>
      <c r="F129" s="156">
        <f>RSDTechsCE!K122</f>
        <v>20</v>
      </c>
      <c r="G129" s="157">
        <v>1</v>
      </c>
      <c r="H129" s="156" t="str">
        <f t="shared" ref="H129:N129" si="77">IF(ISBLANK(H86),"",H86)</f>
        <v/>
      </c>
      <c r="I129" s="156">
        <f t="shared" si="77"/>
        <v>0.95</v>
      </c>
      <c r="J129" s="156" t="str">
        <f t="shared" si="77"/>
        <v/>
      </c>
      <c r="K129" s="156">
        <f t="shared" si="77"/>
        <v>0.66499999999999992</v>
      </c>
      <c r="L129" s="156" t="str">
        <f t="shared" si="77"/>
        <v/>
      </c>
      <c r="M129" s="156" t="str">
        <f t="shared" si="77"/>
        <v/>
      </c>
      <c r="N129" s="156" t="str">
        <f t="shared" si="77"/>
        <v/>
      </c>
      <c r="O129" s="157"/>
      <c r="Q129" s="145" t="s">
        <v>439</v>
      </c>
      <c r="R129" s="145" t="str">
        <f>RSDTechsCE!B122</f>
        <v>R_ES-CHP-SD-GASspl</v>
      </c>
      <c r="S129" s="145" t="str">
        <f>RSDTechsCE!C122&amp;" ("&amp;RSDTechsCE!D122&amp;")"</f>
        <v>Backup for CHPs - Natural Gas boiler (SD)</v>
      </c>
      <c r="T129" s="145" t="s">
        <v>31</v>
      </c>
      <c r="U129" s="145" t="s">
        <v>440</v>
      </c>
      <c r="X129" s="158"/>
    </row>
    <row r="130" spans="1:24" x14ac:dyDescent="0.25">
      <c r="A130" s="145" t="str">
        <f t="shared" si="28"/>
        <v>R_ES-CHP-SD-OILspl</v>
      </c>
      <c r="B130" s="145" t="str">
        <f>RSDTechsCE!F123</f>
        <v>RSDBDL, RSDOIL</v>
      </c>
      <c r="C130" s="145" t="str">
        <f>IF(RSDTechsCE!G123="","",RSDTechsCE!G123)</f>
        <v/>
      </c>
      <c r="D130" s="145" t="str">
        <f>IF(RSDTechsCE!H123="","",RSDTechsCE!H123)</f>
        <v>R_ES-SD-SpHeat, R_ES-SD-WatHeat</v>
      </c>
      <c r="E130" s="156">
        <v>2011</v>
      </c>
      <c r="F130" s="156">
        <f>RSDTechsCE!K123</f>
        <v>22</v>
      </c>
      <c r="G130" s="157">
        <v>1</v>
      </c>
      <c r="H130" s="156" t="str">
        <f t="shared" ref="H130:N130" si="78">IF(ISBLANK(H87),"",H87)</f>
        <v/>
      </c>
      <c r="I130" s="156">
        <f t="shared" si="78"/>
        <v>0.9</v>
      </c>
      <c r="J130" s="156" t="str">
        <f t="shared" si="78"/>
        <v/>
      </c>
      <c r="K130" s="156">
        <f t="shared" si="78"/>
        <v>0.63</v>
      </c>
      <c r="L130" s="156" t="str">
        <f t="shared" si="78"/>
        <v/>
      </c>
      <c r="M130" s="156" t="str">
        <f t="shared" si="78"/>
        <v/>
      </c>
      <c r="N130" s="156" t="str">
        <f t="shared" si="78"/>
        <v/>
      </c>
      <c r="O130" s="157"/>
      <c r="Q130" s="145" t="s">
        <v>439</v>
      </c>
      <c r="R130" s="145" t="str">
        <f>RSDTechsCE!B123</f>
        <v>R_ES-CHP-SD-OILspl</v>
      </c>
      <c r="S130" s="145" t="str">
        <f>RSDTechsCE!C123&amp;" ("&amp;RSDTechsCE!D123&amp;")"</f>
        <v>Backup for CHPs - Oil boiler (SD)</v>
      </c>
      <c r="T130" s="145" t="s">
        <v>31</v>
      </c>
      <c r="U130" s="145" t="s">
        <v>440</v>
      </c>
      <c r="X130" s="158"/>
    </row>
    <row r="132" spans="1:24" x14ac:dyDescent="0.25">
      <c r="D132" s="146" t="s">
        <v>15</v>
      </c>
      <c r="Q132" s="146" t="s">
        <v>11</v>
      </c>
    </row>
    <row r="133" spans="1:24" ht="43.5" x14ac:dyDescent="0.25">
      <c r="A133" s="147" t="s">
        <v>17</v>
      </c>
      <c r="B133" s="147" t="s">
        <v>19</v>
      </c>
      <c r="C133" s="147" t="s">
        <v>355</v>
      </c>
      <c r="D133" s="147" t="s">
        <v>20</v>
      </c>
      <c r="E133" s="148" t="s">
        <v>280</v>
      </c>
      <c r="F133" s="148" t="s">
        <v>216</v>
      </c>
      <c r="G133" s="148" t="s">
        <v>292</v>
      </c>
      <c r="H133" s="148" t="s">
        <v>66</v>
      </c>
      <c r="I133" s="214" t="s">
        <v>821</v>
      </c>
      <c r="J133" s="214" t="s">
        <v>822</v>
      </c>
      <c r="K133" s="214" t="s">
        <v>823</v>
      </c>
      <c r="L133" s="214" t="s">
        <v>389</v>
      </c>
      <c r="M133" s="214" t="s">
        <v>555</v>
      </c>
      <c r="N133" s="214" t="s">
        <v>556</v>
      </c>
      <c r="O133" s="148" t="s">
        <v>515</v>
      </c>
      <c r="Q133" s="147" t="s">
        <v>16</v>
      </c>
      <c r="R133" s="147" t="s">
        <v>17</v>
      </c>
      <c r="S133" s="147" t="s">
        <v>18</v>
      </c>
      <c r="T133" s="147" t="s">
        <v>12</v>
      </c>
      <c r="U133" s="147" t="s">
        <v>13</v>
      </c>
      <c r="V133" s="147" t="s">
        <v>14</v>
      </c>
      <c r="W133" s="147" t="s">
        <v>516</v>
      </c>
      <c r="X133" s="147" t="s">
        <v>305</v>
      </c>
    </row>
    <row r="134" spans="1:24" ht="26.25" thickBot="1" x14ac:dyDescent="0.3">
      <c r="A134" s="149" t="s">
        <v>517</v>
      </c>
      <c r="B134" s="149"/>
      <c r="C134" s="149"/>
      <c r="D134" s="149"/>
      <c r="E134" s="150"/>
      <c r="F134" s="150" t="s">
        <v>518</v>
      </c>
      <c r="G134" s="150"/>
      <c r="H134" s="150"/>
      <c r="I134" s="150"/>
      <c r="J134" s="150"/>
      <c r="K134" s="150"/>
      <c r="L134" s="150"/>
      <c r="M134" s="150"/>
      <c r="N134" s="150"/>
      <c r="O134" s="151" t="s">
        <v>519</v>
      </c>
      <c r="P134" s="152"/>
      <c r="Q134" s="153" t="s">
        <v>520</v>
      </c>
      <c r="R134" s="153" t="s">
        <v>521</v>
      </c>
      <c r="S134" s="153" t="s">
        <v>522</v>
      </c>
      <c r="T134" s="153" t="s">
        <v>523</v>
      </c>
      <c r="U134" s="153" t="s">
        <v>524</v>
      </c>
      <c r="V134" s="153"/>
      <c r="W134" s="153" t="s">
        <v>525</v>
      </c>
      <c r="X134" s="153"/>
    </row>
    <row r="135" spans="1:24" x14ac:dyDescent="0.25">
      <c r="A135" s="154" t="str">
        <f>R135</f>
        <v>*Flats (FL)</v>
      </c>
      <c r="B135" s="154"/>
      <c r="C135" s="154" t="str">
        <f>IF(RSDTechsCE!G126="","",RSDTechsCE!G126)</f>
        <v/>
      </c>
      <c r="D135" s="154" t="str">
        <f>IF(RSDTechsCE!H126="","",RSDTechsCE!H126)</f>
        <v/>
      </c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Q135" s="154" t="s">
        <v>529</v>
      </c>
      <c r="R135" s="154" t="str">
        <f>RSDTechsCE!A126</f>
        <v>*Flats (FL)</v>
      </c>
      <c r="S135" s="154"/>
      <c r="T135" s="154"/>
      <c r="U135" s="154"/>
      <c r="V135" s="154"/>
      <c r="W135" s="154"/>
      <c r="X135" s="154"/>
    </row>
    <row r="136" spans="1:24" x14ac:dyDescent="0.25">
      <c r="A136" s="145" t="str">
        <f t="shared" si="28"/>
        <v>R_ES-SH-FL_OIL01</v>
      </c>
      <c r="B136" s="145" t="str">
        <f>RSDTechsCE!F127</f>
        <v>RSDOIL, RSDBDL</v>
      </c>
      <c r="C136" s="145" t="str">
        <f>IF(RSDTechsCE!G127="","",RSDTechsCE!G127)</f>
        <v/>
      </c>
      <c r="D136" s="145" t="str">
        <f>IF(RSDTechsCE!H127="","",RSDTechsCE!H127)</f>
        <v>R_ES-FL-SpHeat, R_ES-FL-WatHeat</v>
      </c>
      <c r="E136" s="156">
        <v>2011</v>
      </c>
      <c r="F136" s="157">
        <f>RSDTechsCE!K127</f>
        <v>20</v>
      </c>
      <c r="G136" s="157">
        <v>1</v>
      </c>
      <c r="H136" s="156" t="str">
        <f>IF(ISBLANK(H93),"",H93)</f>
        <v/>
      </c>
      <c r="I136" s="156">
        <f t="shared" ref="I136:N136" si="79">IF(ISBLANK(I93),"",I93)</f>
        <v>0.9</v>
      </c>
      <c r="J136" s="156" t="str">
        <f t="shared" si="79"/>
        <v/>
      </c>
      <c r="K136" s="156">
        <f t="shared" si="79"/>
        <v>0.63</v>
      </c>
      <c r="L136" s="156" t="str">
        <f t="shared" si="79"/>
        <v/>
      </c>
      <c r="M136" s="156" t="str">
        <f t="shared" si="79"/>
        <v/>
      </c>
      <c r="N136" s="156" t="str">
        <f t="shared" si="79"/>
        <v/>
      </c>
      <c r="O136" s="157"/>
      <c r="Q136" s="145" t="s">
        <v>439</v>
      </c>
      <c r="R136" s="145" t="str">
        <f>RSDTechsCE!B127</f>
        <v>R_ES-SH-FL_OIL01</v>
      </c>
      <c r="S136" s="145" t="str">
        <f>RSDTechsCE!C127&amp;" ("&amp;RSDTechsCE!D127&amp;")"</f>
        <v>Oil/Biodiesel boiler condensing_SH-WH (FL)</v>
      </c>
      <c r="T136" s="145" t="s">
        <v>31</v>
      </c>
      <c r="U136" s="145" t="s">
        <v>440</v>
      </c>
      <c r="X136" s="158"/>
    </row>
    <row r="137" spans="1:24" x14ac:dyDescent="0.25">
      <c r="A137" s="145" t="str">
        <f t="shared" si="28"/>
        <v>R_ES-SH-FL_OIL02</v>
      </c>
      <c r="B137" s="145" t="str">
        <f>RSDTechsCE!F128</f>
        <v>RSDOIL, RSDBDL</v>
      </c>
      <c r="C137" s="145" t="str">
        <f>IF(RSDTechsCE!G128="","",RSDTechsCE!G128)</f>
        <v/>
      </c>
      <c r="D137" s="145" t="str">
        <f>IF(RSDTechsCE!H128="","",RSDTechsCE!H128)</f>
        <v>R_ES-FL-SpHeat, R_ES-FL-WatHeat</v>
      </c>
      <c r="E137" s="156">
        <v>2011</v>
      </c>
      <c r="F137" s="156">
        <f>RSDTechsCE!K128</f>
        <v>20</v>
      </c>
      <c r="G137" s="157">
        <v>1</v>
      </c>
      <c r="H137" s="156" t="str">
        <f t="shared" ref="H137:N137" si="80">IF(ISBLANK(H94),"",H94)</f>
        <v/>
      </c>
      <c r="I137" s="156">
        <f t="shared" si="80"/>
        <v>0.9</v>
      </c>
      <c r="J137" s="156" t="str">
        <f t="shared" si="80"/>
        <v/>
      </c>
      <c r="K137" s="156">
        <f t="shared" si="80"/>
        <v>0.63</v>
      </c>
      <c r="L137" s="156" t="str">
        <f t="shared" si="80"/>
        <v/>
      </c>
      <c r="M137" s="156" t="str">
        <f t="shared" si="80"/>
        <v/>
      </c>
      <c r="N137" s="156" t="str">
        <f t="shared" si="80"/>
        <v/>
      </c>
      <c r="O137" s="157"/>
      <c r="Q137" s="145" t="s">
        <v>439</v>
      </c>
      <c r="R137" s="145" t="str">
        <f>RSDTechsCE!B128</f>
        <v>R_ES-SH-FL_OIL02</v>
      </c>
      <c r="S137" s="145" t="str">
        <f>RSDTechsCE!C128&amp;" ("&amp;RSDTechsCE!D128&amp;")"</f>
        <v>Oil/Biodiesel boiler condensing + wt other techs_SH-WH  (FL)</v>
      </c>
      <c r="T137" s="145" t="s">
        <v>31</v>
      </c>
      <c r="U137" s="145" t="s">
        <v>440</v>
      </c>
      <c r="X137" s="158"/>
    </row>
    <row r="138" spans="1:24" x14ac:dyDescent="0.25">
      <c r="A138" s="145" t="str">
        <f t="shared" si="28"/>
        <v>R_ES-SH-FL_OIL02-SOLspl</v>
      </c>
      <c r="B138" s="145" t="str">
        <f>RSDTechsCE!F129</f>
        <v>RSDSOL</v>
      </c>
      <c r="C138" s="145" t="str">
        <f>IF(RSDTechsCE!G129="","",RSDTechsCE!G129)</f>
        <v/>
      </c>
      <c r="D138" s="145" t="str">
        <f>IF(RSDTechsCE!H129="","",RSDTechsCE!H129)</f>
        <v>R_ES-FL-SpHeat, R_ES-FL-WatHeat</v>
      </c>
      <c r="E138" s="156">
        <v>2011</v>
      </c>
      <c r="F138" s="156">
        <f>RSDTechsCE!K129</f>
        <v>20</v>
      </c>
      <c r="G138" s="157">
        <v>1</v>
      </c>
      <c r="H138" s="156" t="str">
        <f t="shared" ref="H138:N138" si="81">IF(ISBLANK(H95),"",H95)</f>
        <v/>
      </c>
      <c r="I138" s="156">
        <f t="shared" si="81"/>
        <v>1</v>
      </c>
      <c r="J138" s="156" t="str">
        <f t="shared" si="81"/>
        <v/>
      </c>
      <c r="K138" s="156">
        <f t="shared" si="81"/>
        <v>0.7</v>
      </c>
      <c r="L138" s="156" t="str">
        <f t="shared" si="81"/>
        <v/>
      </c>
      <c r="M138" s="156" t="str">
        <f t="shared" si="81"/>
        <v/>
      </c>
      <c r="N138" s="156" t="str">
        <f t="shared" si="81"/>
        <v/>
      </c>
      <c r="O138" s="157"/>
      <c r="Q138" s="145" t="s">
        <v>439</v>
      </c>
      <c r="R138" s="145" t="str">
        <f>RSDTechsCE!B129</f>
        <v>R_ES-SH-FL_OIL02-SOLspl</v>
      </c>
      <c r="S138" s="145" t="str">
        <f>RSDTechsCE!C129&amp;" ("&amp;RSDTechsCE!D129&amp;")"</f>
        <v>Backup for Oil boiler - Solar thermal_SH-WH  (FL)</v>
      </c>
      <c r="T138" s="145" t="s">
        <v>31</v>
      </c>
      <c r="U138" s="145" t="s">
        <v>440</v>
      </c>
      <c r="X138" s="158"/>
    </row>
    <row r="139" spans="1:24" x14ac:dyDescent="0.25">
      <c r="A139" s="145" t="str">
        <f t="shared" si="28"/>
        <v>R_ES-SH-FL_OIL02-BIOspl</v>
      </c>
      <c r="B139" s="145" t="str">
        <f>RSDTechsCE!F130</f>
        <v>RSDBIO</v>
      </c>
      <c r="C139" s="145" t="str">
        <f>IF(RSDTechsCE!G130="","",RSDTechsCE!G130)</f>
        <v/>
      </c>
      <c r="D139" s="145" t="str">
        <f>IF(RSDTechsCE!H130="","",RSDTechsCE!H130)</f>
        <v>R_ES-FL-SpHeat</v>
      </c>
      <c r="E139" s="156">
        <v>2011</v>
      </c>
      <c r="F139" s="156">
        <f>RSDTechsCE!K130</f>
        <v>20</v>
      </c>
      <c r="G139" s="157">
        <v>1</v>
      </c>
      <c r="H139" s="156" t="str">
        <f t="shared" ref="H139:N139" si="82">IF(ISBLANK(H96),"",H96)</f>
        <v/>
      </c>
      <c r="I139" s="156">
        <f t="shared" si="82"/>
        <v>0.65</v>
      </c>
      <c r="J139" s="156" t="str">
        <f t="shared" si="82"/>
        <v/>
      </c>
      <c r="K139" s="156" t="str">
        <f t="shared" si="82"/>
        <v/>
      </c>
      <c r="L139" s="156" t="str">
        <f t="shared" si="82"/>
        <v/>
      </c>
      <c r="M139" s="156" t="str">
        <f t="shared" si="82"/>
        <v/>
      </c>
      <c r="N139" s="156" t="str">
        <f t="shared" si="82"/>
        <v/>
      </c>
      <c r="O139" s="157"/>
      <c r="Q139" s="145" t="s">
        <v>439</v>
      </c>
      <c r="R139" s="145" t="str">
        <f>RSDTechsCE!B130</f>
        <v>R_ES-SH-FL_OIL02-BIOspl</v>
      </c>
      <c r="S139" s="145" t="str">
        <f>RSDTechsCE!C130&amp;" ("&amp;RSDTechsCE!D130&amp;")"</f>
        <v>Backup for Oil boiler - Wood stove_SH (FL)</v>
      </c>
      <c r="T139" s="145" t="s">
        <v>31</v>
      </c>
      <c r="U139" s="145" t="s">
        <v>440</v>
      </c>
      <c r="X139" s="158"/>
    </row>
    <row r="140" spans="1:24" x14ac:dyDescent="0.25">
      <c r="A140" s="145" t="str">
        <f t="shared" si="28"/>
        <v>R_ES-SH-FL_GAS01</v>
      </c>
      <c r="B140" s="145" t="str">
        <f>RSDTechsCE!F131</f>
        <v>RSDGAS, RSDLPG, RSDBGS</v>
      </c>
      <c r="C140" s="145" t="str">
        <f>IF(RSDTechsCE!G131="","",RSDTechsCE!G131)</f>
        <v/>
      </c>
      <c r="D140" s="145" t="str">
        <f>IF(RSDTechsCE!H131="","",RSDTechsCE!H131)</f>
        <v>R_ES-FL-SpHeat, R_ES-FL-WatHeat</v>
      </c>
      <c r="E140" s="156">
        <v>2011</v>
      </c>
      <c r="F140" s="156">
        <f>RSDTechsCE!K131</f>
        <v>22</v>
      </c>
      <c r="G140" s="157">
        <v>1</v>
      </c>
      <c r="H140" s="156" t="str">
        <f t="shared" ref="H140:N140" si="83">IF(ISBLANK(H97),"",H97)</f>
        <v/>
      </c>
      <c r="I140" s="156">
        <f t="shared" si="83"/>
        <v>0.95</v>
      </c>
      <c r="J140" s="156" t="str">
        <f t="shared" si="83"/>
        <v/>
      </c>
      <c r="K140" s="156">
        <f t="shared" si="83"/>
        <v>0.66499999999999992</v>
      </c>
      <c r="L140" s="156" t="str">
        <f t="shared" si="83"/>
        <v/>
      </c>
      <c r="M140" s="156" t="str">
        <f t="shared" si="83"/>
        <v/>
      </c>
      <c r="N140" s="156" t="str">
        <f t="shared" si="83"/>
        <v/>
      </c>
      <c r="O140" s="157"/>
      <c r="Q140" s="145" t="s">
        <v>439</v>
      </c>
      <c r="R140" s="145" t="str">
        <f>RSDTechsCE!B131</f>
        <v>R_ES-SH-FL_GAS01</v>
      </c>
      <c r="S140" s="145" t="str">
        <f>RSDTechsCE!C131&amp;" ("&amp;RSDTechsCE!D131&amp;")"</f>
        <v>Gas/LPG/Biogas boiler condensing_SH-WH  (FL)</v>
      </c>
      <c r="T140" s="145" t="s">
        <v>31</v>
      </c>
      <c r="U140" s="145" t="s">
        <v>440</v>
      </c>
      <c r="X140" s="158"/>
    </row>
    <row r="141" spans="1:24" x14ac:dyDescent="0.25">
      <c r="A141" s="145" t="str">
        <f t="shared" si="28"/>
        <v>R_ES-SH-FL_GAS02</v>
      </c>
      <c r="B141" s="145" t="str">
        <f>RSDTechsCE!F132</f>
        <v>RSDGAS, RSDLPG, RSDBGS</v>
      </c>
      <c r="C141" s="145" t="str">
        <f>IF(RSDTechsCE!G132="","",RSDTechsCE!G132)</f>
        <v/>
      </c>
      <c r="D141" s="145" t="str">
        <f>IF(RSDTechsCE!H132="","",RSDTechsCE!H132)</f>
        <v>R_ES-FL-SpHeat, R_ES-FL-WatHeat</v>
      </c>
      <c r="E141" s="156">
        <v>2011</v>
      </c>
      <c r="F141" s="156">
        <f>RSDTechsCE!K132</f>
        <v>22</v>
      </c>
      <c r="G141" s="157">
        <v>1</v>
      </c>
      <c r="H141" s="156" t="str">
        <f t="shared" ref="H141:N141" si="84">IF(ISBLANK(H98),"",H98)</f>
        <v/>
      </c>
      <c r="I141" s="156">
        <f t="shared" si="84"/>
        <v>0.95</v>
      </c>
      <c r="J141" s="156" t="str">
        <f t="shared" si="84"/>
        <v/>
      </c>
      <c r="K141" s="156">
        <f t="shared" si="84"/>
        <v>0.66499999999999992</v>
      </c>
      <c r="L141" s="156" t="str">
        <f t="shared" si="84"/>
        <v/>
      </c>
      <c r="M141" s="156" t="str">
        <f t="shared" si="84"/>
        <v/>
      </c>
      <c r="N141" s="156" t="str">
        <f t="shared" si="84"/>
        <v/>
      </c>
      <c r="O141" s="157"/>
      <c r="Q141" s="145" t="s">
        <v>439</v>
      </c>
      <c r="R141" s="145" t="str">
        <f>RSDTechsCE!B132</f>
        <v>R_ES-SH-FL_GAS02</v>
      </c>
      <c r="S141" s="145" t="str">
        <f>RSDTechsCE!C132&amp;" ("&amp;RSDTechsCE!D132&amp;")"</f>
        <v>Gas/LPG/Biogas boiler condensing + wt other techs_SH-WH (FL)</v>
      </c>
      <c r="T141" s="145" t="s">
        <v>31</v>
      </c>
      <c r="U141" s="145" t="s">
        <v>440</v>
      </c>
      <c r="X141" s="158"/>
    </row>
    <row r="142" spans="1:24" x14ac:dyDescent="0.25">
      <c r="A142" s="145" t="str">
        <f t="shared" si="28"/>
        <v>R_ES-SH-FL_GAS01-SOLspl</v>
      </c>
      <c r="B142" s="145" t="str">
        <f>RSDTechsCE!F133</f>
        <v>RSDSOL</v>
      </c>
      <c r="C142" s="145" t="str">
        <f>IF(RSDTechsCE!G133="","",RSDTechsCE!G133)</f>
        <v/>
      </c>
      <c r="D142" s="145" t="str">
        <f>IF(RSDTechsCE!H133="","",RSDTechsCE!H133)</f>
        <v>R_ES-FL-SpHeat, R_ES-FL-WatHeat</v>
      </c>
      <c r="E142" s="156">
        <v>2011</v>
      </c>
      <c r="F142" s="156">
        <f>RSDTechsCE!K133</f>
        <v>20</v>
      </c>
      <c r="G142" s="157">
        <v>1</v>
      </c>
      <c r="H142" s="156" t="str">
        <f t="shared" ref="H142:N142" si="85">IF(ISBLANK(H99),"",H99)</f>
        <v/>
      </c>
      <c r="I142" s="156">
        <f t="shared" si="85"/>
        <v>1</v>
      </c>
      <c r="J142" s="156" t="str">
        <f t="shared" si="85"/>
        <v/>
      </c>
      <c r="K142" s="156">
        <f t="shared" si="85"/>
        <v>0.7</v>
      </c>
      <c r="L142" s="156" t="str">
        <f t="shared" si="85"/>
        <v/>
      </c>
      <c r="M142" s="156" t="str">
        <f t="shared" si="85"/>
        <v/>
      </c>
      <c r="N142" s="156" t="str">
        <f t="shared" si="85"/>
        <v/>
      </c>
      <c r="O142" s="157"/>
      <c r="Q142" s="145" t="s">
        <v>439</v>
      </c>
      <c r="R142" s="145" t="str">
        <f>RSDTechsCE!B133</f>
        <v>R_ES-SH-FL_GAS01-SOLspl</v>
      </c>
      <c r="S142" s="145" t="str">
        <f>RSDTechsCE!C133&amp;" ("&amp;RSDTechsCE!D133&amp;")"</f>
        <v>Backup for Gas boiler - Solar thermal_SH-WH  (FL)</v>
      </c>
      <c r="T142" s="145" t="s">
        <v>31</v>
      </c>
      <c r="U142" s="145" t="s">
        <v>440</v>
      </c>
      <c r="X142" s="158"/>
    </row>
    <row r="143" spans="1:24" x14ac:dyDescent="0.25">
      <c r="A143" s="145" t="str">
        <f t="shared" si="28"/>
        <v>R_ES-SH-FL_GAS01-BIOspl</v>
      </c>
      <c r="B143" s="145" t="str">
        <f>RSDTechsCE!F134</f>
        <v>RSDBIO</v>
      </c>
      <c r="C143" s="145" t="str">
        <f>IF(RSDTechsCE!G134="","",RSDTechsCE!G134)</f>
        <v/>
      </c>
      <c r="D143" s="145" t="str">
        <f>IF(RSDTechsCE!H134="","",RSDTechsCE!H134)</f>
        <v>R_ES-FL-SpHeat</v>
      </c>
      <c r="E143" s="156">
        <v>2011</v>
      </c>
      <c r="F143" s="156">
        <f>RSDTechsCE!K134</f>
        <v>20</v>
      </c>
      <c r="G143" s="157">
        <v>1</v>
      </c>
      <c r="H143" s="156" t="str">
        <f t="shared" ref="H143:N143" si="86">IF(ISBLANK(H100),"",H100)</f>
        <v/>
      </c>
      <c r="I143" s="156">
        <f t="shared" si="86"/>
        <v>0.65</v>
      </c>
      <c r="J143" s="156" t="str">
        <f t="shared" si="86"/>
        <v/>
      </c>
      <c r="K143" s="156" t="str">
        <f t="shared" si="86"/>
        <v/>
      </c>
      <c r="L143" s="156" t="str">
        <f t="shared" si="86"/>
        <v/>
      </c>
      <c r="M143" s="156" t="str">
        <f t="shared" si="86"/>
        <v/>
      </c>
      <c r="N143" s="156" t="str">
        <f t="shared" si="86"/>
        <v/>
      </c>
      <c r="O143" s="157"/>
      <c r="Q143" s="145" t="s">
        <v>439</v>
      </c>
      <c r="R143" s="145" t="str">
        <f>RSDTechsCE!B134</f>
        <v>R_ES-SH-FL_GAS01-BIOspl</v>
      </c>
      <c r="S143" s="145" t="str">
        <f>RSDTechsCE!C134&amp;" ("&amp;RSDTechsCE!D134&amp;")"</f>
        <v>Backup for Gas boiler - Wood stove_SH (FL)</v>
      </c>
      <c r="T143" s="145" t="s">
        <v>31</v>
      </c>
      <c r="U143" s="145" t="s">
        <v>440</v>
      </c>
      <c r="X143" s="158"/>
    </row>
    <row r="144" spans="1:24" x14ac:dyDescent="0.25">
      <c r="A144" s="145" t="str">
        <f t="shared" si="28"/>
        <v>R_ES-SH-FL_BIO01</v>
      </c>
      <c r="B144" s="145" t="str">
        <f>RSDTechsCE!F135</f>
        <v>RSDBIO</v>
      </c>
      <c r="C144" s="145" t="str">
        <f>IF(RSDTechsCE!G135="","",RSDTechsCE!G135)</f>
        <v/>
      </c>
      <c r="D144" s="145" t="str">
        <f>IF(RSDTechsCE!H135="","",RSDTechsCE!H135)</f>
        <v>R_ES-FL-SpHeat, R_ES-FL-WatHeat</v>
      </c>
      <c r="E144" s="156">
        <v>2011</v>
      </c>
      <c r="F144" s="156">
        <f>RSDTechsCE!K135</f>
        <v>20</v>
      </c>
      <c r="G144" s="157">
        <v>1</v>
      </c>
      <c r="H144" s="156" t="str">
        <f t="shared" ref="H144:N144" si="87">IF(ISBLANK(H101),"",H101)</f>
        <v/>
      </c>
      <c r="I144" s="156">
        <f t="shared" si="87"/>
        <v>0.67308496185599331</v>
      </c>
      <c r="J144" s="156" t="str">
        <f t="shared" si="87"/>
        <v/>
      </c>
      <c r="K144" s="156">
        <f t="shared" si="87"/>
        <v>0.47115947329919527</v>
      </c>
      <c r="L144" s="156" t="str">
        <f t="shared" si="87"/>
        <v/>
      </c>
      <c r="M144" s="156" t="str">
        <f t="shared" si="87"/>
        <v/>
      </c>
      <c r="N144" s="156" t="str">
        <f t="shared" si="87"/>
        <v/>
      </c>
      <c r="O144" s="157"/>
      <c r="Q144" s="145" t="s">
        <v>439</v>
      </c>
      <c r="R144" s="145" t="str">
        <f>RSDTechsCE!B135</f>
        <v>R_ES-SH-FL_BIO01</v>
      </c>
      <c r="S144" s="145" t="str">
        <f>RSDTechsCE!C135&amp;" ("&amp;RSDTechsCE!D135&amp;")"</f>
        <v>Biomass boiler_SH-WH (FL)</v>
      </c>
      <c r="T144" s="145" t="s">
        <v>31</v>
      </c>
      <c r="U144" s="145" t="s">
        <v>440</v>
      </c>
      <c r="X144" s="158"/>
    </row>
    <row r="145" spans="1:24" x14ac:dyDescent="0.25">
      <c r="A145" s="159" t="str">
        <f t="shared" si="28"/>
        <v>R_ES-SH-FL_ELC01</v>
      </c>
      <c r="B145" s="159" t="str">
        <f>RSDTechsCE!F136</f>
        <v>RSDELC</v>
      </c>
      <c r="C145" s="159" t="str">
        <f>IF(RSDTechsCE!G136="","",RSDTechsCE!G136)</f>
        <v/>
      </c>
      <c r="D145" s="159" t="str">
        <f>IF(RSDTechsCE!H136="","",RSDTechsCE!H136)</f>
        <v>R_ES-FL-SpHeat, R_ES-FL-WatHeat</v>
      </c>
      <c r="E145" s="160">
        <v>2011</v>
      </c>
      <c r="F145" s="160">
        <f>RSDTechsCE!K136</f>
        <v>30</v>
      </c>
      <c r="G145" s="161">
        <v>1</v>
      </c>
      <c r="H145" s="160" t="str">
        <f t="shared" ref="H145:N145" si="88">IF(ISBLANK(H102),"",H102)</f>
        <v/>
      </c>
      <c r="I145" s="160">
        <f t="shared" si="88"/>
        <v>1</v>
      </c>
      <c r="J145" s="160" t="str">
        <f t="shared" si="88"/>
        <v/>
      </c>
      <c r="K145" s="160">
        <f t="shared" si="88"/>
        <v>0.7</v>
      </c>
      <c r="L145" s="160" t="str">
        <f t="shared" si="88"/>
        <v/>
      </c>
      <c r="M145" s="160" t="str">
        <f t="shared" si="88"/>
        <v/>
      </c>
      <c r="N145" s="160" t="str">
        <f t="shared" si="88"/>
        <v/>
      </c>
      <c r="O145" s="161"/>
      <c r="Q145" s="159" t="s">
        <v>439</v>
      </c>
      <c r="R145" s="159" t="str">
        <f>RSDTechsCE!B136</f>
        <v>R_ES-SH-FL_ELC01</v>
      </c>
      <c r="S145" s="159" t="str">
        <f>RSDTechsCE!C136&amp;" ("&amp;RSDTechsCE!D136&amp;")"</f>
        <v>Electric boiler_SH-WH (FL)</v>
      </c>
      <c r="T145" s="159" t="s">
        <v>31</v>
      </c>
      <c r="U145" s="159" t="s">
        <v>440</v>
      </c>
      <c r="V145" s="159"/>
      <c r="W145" s="159"/>
      <c r="X145" s="162"/>
    </row>
    <row r="146" spans="1:24" x14ac:dyDescent="0.25">
      <c r="A146" s="145" t="str">
        <f t="shared" si="28"/>
        <v>R_ES-SH-FL_ELC02</v>
      </c>
      <c r="B146" s="145" t="str">
        <f>RSDTechsCE!F137</f>
        <v>RSDELC</v>
      </c>
      <c r="C146" s="145" t="str">
        <f>IF(RSDTechsCE!G137="","",RSDTechsCE!G137)</f>
        <v>RSDAHT</v>
      </c>
      <c r="D146" s="145" t="str">
        <f>IF(RSDTechsCE!H137="","",RSDTechsCE!H137)</f>
        <v>R_ES-FL-SpHeat, R_ES-FL-SpCool</v>
      </c>
      <c r="E146" s="156">
        <v>2011</v>
      </c>
      <c r="F146" s="156">
        <f>RSDTechsCE!K137</f>
        <v>20</v>
      </c>
      <c r="G146" s="157">
        <v>1</v>
      </c>
      <c r="H146" s="156" t="str">
        <f t="shared" ref="H146:N146" si="89">IF(ISBLANK(H103),"",H103)</f>
        <v/>
      </c>
      <c r="I146" s="156" t="str">
        <f t="shared" si="89"/>
        <v/>
      </c>
      <c r="J146" s="156">
        <f t="shared" si="89"/>
        <v>5</v>
      </c>
      <c r="K146" s="156" t="str">
        <f t="shared" si="89"/>
        <v/>
      </c>
      <c r="L146" s="156" t="str">
        <f t="shared" si="89"/>
        <v/>
      </c>
      <c r="M146" s="156" t="str">
        <f t="shared" si="89"/>
        <v/>
      </c>
      <c r="N146" s="156" t="str">
        <f t="shared" si="89"/>
        <v/>
      </c>
      <c r="O146" s="157"/>
      <c r="Q146" s="145" t="s">
        <v>439</v>
      </c>
      <c r="R146" s="145" t="str">
        <f>RSDTechsCE!B137</f>
        <v>R_ES-SH-FL_ELC02</v>
      </c>
      <c r="S146" s="145" t="str">
        <f>RSDTechsCE!C137&amp;" ("&amp;RSDTechsCE!D137&amp;")"</f>
        <v>Heat Pump Air-to-Air_SH (FL)</v>
      </c>
      <c r="T146" s="145" t="s">
        <v>31</v>
      </c>
      <c r="U146" s="145" t="s">
        <v>440</v>
      </c>
      <c r="X146" s="158"/>
    </row>
    <row r="147" spans="1:24" x14ac:dyDescent="0.25">
      <c r="A147" s="145" t="str">
        <f t="shared" si="28"/>
        <v>R_ES-SH-FL_ELC02-ELCspl</v>
      </c>
      <c r="B147" s="145" t="str">
        <f>RSDTechsCE!F138</f>
        <v>RSDELC</v>
      </c>
      <c r="C147" s="145" t="str">
        <f>IF(RSDTechsCE!G138="","",RSDTechsCE!G138)</f>
        <v/>
      </c>
      <c r="D147" s="145" t="str">
        <f>IF(RSDTechsCE!H138="","",RSDTechsCE!H138)</f>
        <v>R_ES-FL-SpHeat, R_ES-FL-WatHeat</v>
      </c>
      <c r="E147" s="156">
        <v>2011</v>
      </c>
      <c r="F147" s="156">
        <f>RSDTechsCE!K138</f>
        <v>15</v>
      </c>
      <c r="G147" s="157">
        <v>1</v>
      </c>
      <c r="H147" s="156" t="str">
        <f t="shared" ref="H147:N147" si="90">IF(ISBLANK(H104),"",H104)</f>
        <v/>
      </c>
      <c r="I147" s="156">
        <f t="shared" si="90"/>
        <v>1</v>
      </c>
      <c r="J147" s="156" t="str">
        <f t="shared" si="90"/>
        <v/>
      </c>
      <c r="K147" s="156">
        <f t="shared" si="90"/>
        <v>0.7</v>
      </c>
      <c r="L147" s="156" t="str">
        <f t="shared" si="90"/>
        <v/>
      </c>
      <c r="M147" s="156" t="str">
        <f t="shared" si="90"/>
        <v/>
      </c>
      <c r="N147" s="156" t="str">
        <f t="shared" si="90"/>
        <v/>
      </c>
      <c r="O147" s="157"/>
      <c r="Q147" s="145" t="s">
        <v>439</v>
      </c>
      <c r="R147" s="145" t="str">
        <f>RSDTechsCE!B138</f>
        <v>R_ES-SH-FL_ELC02-ELCspl</v>
      </c>
      <c r="S147" s="145" t="str">
        <f>RSDTechsCE!C138&amp;" ("&amp;RSDTechsCE!D138&amp;")"</f>
        <v>Backup for Heat Pump Air-to-Air - Electric_SH-WH  (FL)</v>
      </c>
      <c r="T147" s="145" t="s">
        <v>31</v>
      </c>
      <c r="U147" s="145" t="s">
        <v>440</v>
      </c>
      <c r="X147" s="158"/>
    </row>
    <row r="148" spans="1:24" x14ac:dyDescent="0.25">
      <c r="A148" s="145" t="str">
        <f t="shared" ref="A148:A173" si="91">R148</f>
        <v>R_ES-SH-FL_ELC02-GASspl</v>
      </c>
      <c r="B148" s="145" t="str">
        <f>RSDTechsCE!F139</f>
        <v>RSDLPG, RSDBGS, RSDGAS</v>
      </c>
      <c r="C148" s="145" t="str">
        <f>IF(RSDTechsCE!G139="","",RSDTechsCE!G139)</f>
        <v/>
      </c>
      <c r="D148" s="145" t="str">
        <f>IF(RSDTechsCE!H139="","",RSDTechsCE!H139)</f>
        <v>R_ES-FL-SpHeat, R_ES-FL-WatHeat</v>
      </c>
      <c r="E148" s="156">
        <v>2011</v>
      </c>
      <c r="F148" s="156">
        <f>RSDTechsCE!K139</f>
        <v>22</v>
      </c>
      <c r="G148" s="157">
        <v>1</v>
      </c>
      <c r="H148" s="156" t="str">
        <f t="shared" ref="H148:N148" si="92">IF(ISBLANK(H105),"",H105)</f>
        <v/>
      </c>
      <c r="I148" s="156">
        <f t="shared" si="92"/>
        <v>0.84679858006836706</v>
      </c>
      <c r="J148" s="156" t="str">
        <f t="shared" si="92"/>
        <v/>
      </c>
      <c r="K148" s="156">
        <f t="shared" si="92"/>
        <v>0.59275900604785692</v>
      </c>
      <c r="L148" s="156" t="str">
        <f t="shared" si="92"/>
        <v/>
      </c>
      <c r="M148" s="156" t="str">
        <f t="shared" si="92"/>
        <v/>
      </c>
      <c r="N148" s="156" t="str">
        <f t="shared" si="92"/>
        <v/>
      </c>
      <c r="O148" s="157"/>
      <c r="Q148" s="145" t="s">
        <v>439</v>
      </c>
      <c r="R148" s="145" t="str">
        <f>RSDTechsCE!B139</f>
        <v>R_ES-SH-FL_ELC02-GASspl</v>
      </c>
      <c r="S148" s="145" t="str">
        <f>RSDTechsCE!C139&amp;" ("&amp;RSDTechsCE!D139&amp;")"</f>
        <v>Backup for Heat Pump Air-to-Air - Natural Gas boiler_SH-WH  (FL)</v>
      </c>
      <c r="T148" s="145" t="s">
        <v>31</v>
      </c>
      <c r="U148" s="145" t="s">
        <v>440</v>
      </c>
      <c r="X148" s="158"/>
    </row>
    <row r="149" spans="1:24" x14ac:dyDescent="0.25">
      <c r="A149" s="145" t="str">
        <f t="shared" si="91"/>
        <v>R_ES-SH-FL_ELC02-BIOspl</v>
      </c>
      <c r="B149" s="145" t="str">
        <f>RSDTechsCE!F140</f>
        <v>RSDBIO</v>
      </c>
      <c r="C149" s="145" t="str">
        <f>IF(RSDTechsCE!G140="","",RSDTechsCE!G140)</f>
        <v/>
      </c>
      <c r="D149" s="145" t="str">
        <f>IF(RSDTechsCE!H140="","",RSDTechsCE!H140)</f>
        <v>R_ES-FL-SpHeat, R_ES-FL-WatHeat</v>
      </c>
      <c r="E149" s="156">
        <v>2011</v>
      </c>
      <c r="F149" s="156">
        <f>RSDTechsCE!K140</f>
        <v>20</v>
      </c>
      <c r="G149" s="157">
        <v>1</v>
      </c>
      <c r="H149" s="156" t="str">
        <f t="shared" ref="H149:N149" si="93">IF(ISBLANK(H106),"",H106)</f>
        <v/>
      </c>
      <c r="I149" s="156">
        <f t="shared" si="93"/>
        <v>0.67308496185599331</v>
      </c>
      <c r="J149" s="156" t="str">
        <f t="shared" si="93"/>
        <v/>
      </c>
      <c r="K149" s="156">
        <f t="shared" si="93"/>
        <v>0.47115947329919527</v>
      </c>
      <c r="L149" s="156" t="str">
        <f t="shared" si="93"/>
        <v/>
      </c>
      <c r="M149" s="156" t="str">
        <f t="shared" si="93"/>
        <v/>
      </c>
      <c r="N149" s="156" t="str">
        <f t="shared" si="93"/>
        <v/>
      </c>
      <c r="O149" s="157"/>
      <c r="Q149" s="145" t="s">
        <v>439</v>
      </c>
      <c r="R149" s="145" t="str">
        <f>RSDTechsCE!B140</f>
        <v>R_ES-SH-FL_ELC02-BIOspl</v>
      </c>
      <c r="S149" s="145" t="str">
        <f>RSDTechsCE!C140&amp;" ("&amp;RSDTechsCE!D140&amp;")"</f>
        <v>Backup for Heat Pump Air-to-Air - Biomass boiler_SH-WH  (FL)</v>
      </c>
      <c r="T149" s="145" t="s">
        <v>31</v>
      </c>
      <c r="U149" s="145" t="s">
        <v>440</v>
      </c>
      <c r="X149" s="158"/>
    </row>
    <row r="150" spans="1:24" x14ac:dyDescent="0.25">
      <c r="A150" s="145" t="str">
        <f t="shared" si="91"/>
        <v>R_ES-SH-FL_ELC02-SOLspl</v>
      </c>
      <c r="B150" s="145" t="str">
        <f>RSDTechsCE!F141</f>
        <v>RSDSOL</v>
      </c>
      <c r="C150" s="145" t="str">
        <f>IF(RSDTechsCE!G141="","",RSDTechsCE!G141)</f>
        <v/>
      </c>
      <c r="D150" s="145" t="str">
        <f>IF(RSDTechsCE!H141="","",RSDTechsCE!H141)</f>
        <v>R_ES-FL-SpHeat, R_ES-FL-WatHeat</v>
      </c>
      <c r="E150" s="156">
        <v>2011</v>
      </c>
      <c r="F150" s="156">
        <f>RSDTechsCE!K141</f>
        <v>20</v>
      </c>
      <c r="G150" s="157">
        <v>1</v>
      </c>
      <c r="H150" s="156" t="str">
        <f t="shared" ref="H150:N150" si="94">IF(ISBLANK(H107),"",H107)</f>
        <v/>
      </c>
      <c r="I150" s="156">
        <f t="shared" si="94"/>
        <v>1</v>
      </c>
      <c r="J150" s="156" t="str">
        <f t="shared" si="94"/>
        <v/>
      </c>
      <c r="K150" s="156">
        <f t="shared" si="94"/>
        <v>0.7</v>
      </c>
      <c r="L150" s="156" t="str">
        <f t="shared" si="94"/>
        <v/>
      </c>
      <c r="M150" s="156" t="str">
        <f t="shared" si="94"/>
        <v/>
      </c>
      <c r="N150" s="156" t="str">
        <f t="shared" si="94"/>
        <v/>
      </c>
      <c r="O150" s="157"/>
      <c r="Q150" s="145" t="s">
        <v>439</v>
      </c>
      <c r="R150" s="145" t="str">
        <f>RSDTechsCE!B141</f>
        <v>R_ES-SH-FL_ELC02-SOLspl</v>
      </c>
      <c r="S150" s="145" t="str">
        <f>RSDTechsCE!C141&amp;" ("&amp;RSDTechsCE!D141&amp;")"</f>
        <v>Backup for Heat Pump Air-to-Air - Solar thermal_SH-WH  (FL)</v>
      </c>
      <c r="T150" s="145" t="s">
        <v>31</v>
      </c>
      <c r="U150" s="145" t="s">
        <v>440</v>
      </c>
      <c r="X150" s="158"/>
    </row>
    <row r="151" spans="1:24" x14ac:dyDescent="0.25">
      <c r="A151" s="145" t="str">
        <f t="shared" si="91"/>
        <v>R_ES-SH-FL_ELC04</v>
      </c>
      <c r="B151" s="145" t="str">
        <f>RSDTechsCE!F142</f>
        <v>RSDELC</v>
      </c>
      <c r="C151" s="145" t="str">
        <f>IF(RSDTechsCE!G142="","",RSDTechsCE!G142)</f>
        <v>RSDAHT</v>
      </c>
      <c r="D151" s="145" t="str">
        <f>IF(RSDTechsCE!H142="","",RSDTechsCE!H142)</f>
        <v>R_ES-FL-SpHeat, R_ES-FL-WatHeat</v>
      </c>
      <c r="E151" s="156">
        <v>2011</v>
      </c>
      <c r="F151" s="156">
        <f>RSDTechsCE!K142</f>
        <v>20</v>
      </c>
      <c r="G151" s="157">
        <v>1</v>
      </c>
      <c r="H151" s="156" t="str">
        <f t="shared" ref="H151:N151" si="95">IF(ISBLANK(H108),"",H108)</f>
        <v/>
      </c>
      <c r="I151" s="156" t="str">
        <f t="shared" si="95"/>
        <v/>
      </c>
      <c r="J151" s="156" t="str">
        <f t="shared" si="95"/>
        <v/>
      </c>
      <c r="K151" s="156">
        <f t="shared" si="95"/>
        <v>2.7</v>
      </c>
      <c r="L151" s="156" t="str">
        <f t="shared" si="95"/>
        <v/>
      </c>
      <c r="M151" s="156" t="str">
        <f t="shared" si="95"/>
        <v/>
      </c>
      <c r="N151" s="156" t="str">
        <f t="shared" si="95"/>
        <v/>
      </c>
      <c r="O151" s="157"/>
      <c r="Q151" s="145" t="s">
        <v>439</v>
      </c>
      <c r="R151" s="145" t="str">
        <f>RSDTechsCE!B142</f>
        <v>R_ES-SH-FL_ELC04</v>
      </c>
      <c r="S151" s="145" t="str">
        <f>RSDTechsCE!C142&amp;" ("&amp;RSDTechsCE!D142&amp;")"</f>
        <v>Heat Pump Air-to-Water_SH-WH (FL)</v>
      </c>
      <c r="T151" s="145" t="s">
        <v>31</v>
      </c>
      <c r="U151" s="145" t="s">
        <v>440</v>
      </c>
      <c r="X151" s="158"/>
    </row>
    <row r="152" spans="1:24" x14ac:dyDescent="0.25">
      <c r="A152" s="145" t="str">
        <f t="shared" si="91"/>
        <v>R_ES-SH-FL_ELC05</v>
      </c>
      <c r="B152" s="145" t="str">
        <f>RSDTechsCE!F143</f>
        <v>RSDELC</v>
      </c>
      <c r="C152" s="145" t="str">
        <f>IF(RSDTechsCE!G143="","",RSDTechsCE!G143)</f>
        <v>RSDAHT</v>
      </c>
      <c r="D152" s="145" t="str">
        <f>IF(RSDTechsCE!H143="","",RSDTechsCE!H143)</f>
        <v>R_ES-FL-SpHeat, R_ES-FL-WatHeat, R_ES-FL-SpCool</v>
      </c>
      <c r="E152" s="156">
        <v>2011</v>
      </c>
      <c r="F152" s="156">
        <f>RSDTechsCE!K143</f>
        <v>20</v>
      </c>
      <c r="G152" s="157">
        <v>1</v>
      </c>
      <c r="H152" s="156" t="str">
        <f t="shared" ref="H152:N152" si="96">IF(ISBLANK(H109),"",H109)</f>
        <v/>
      </c>
      <c r="I152" s="156" t="str">
        <f t="shared" si="96"/>
        <v/>
      </c>
      <c r="J152" s="156">
        <f t="shared" si="96"/>
        <v>5</v>
      </c>
      <c r="K152" s="156">
        <f t="shared" si="96"/>
        <v>2.7</v>
      </c>
      <c r="L152" s="156" t="str">
        <f t="shared" si="96"/>
        <v/>
      </c>
      <c r="M152" s="156" t="str">
        <f t="shared" si="96"/>
        <v/>
      </c>
      <c r="N152" s="156" t="str">
        <f t="shared" si="96"/>
        <v/>
      </c>
      <c r="O152" s="157"/>
      <c r="Q152" s="145" t="s">
        <v>439</v>
      </c>
      <c r="R152" s="145" t="str">
        <f>RSDTechsCE!B143</f>
        <v>R_ES-SH-FL_ELC05</v>
      </c>
      <c r="S152" s="145" t="str">
        <f>RSDTechsCE!C143&amp;" ("&amp;RSDTechsCE!D143&amp;")"</f>
        <v>Heat Pump Air-to-Water_SH-WH-SC (FL)</v>
      </c>
      <c r="T152" s="145" t="s">
        <v>31</v>
      </c>
      <c r="U152" s="145" t="s">
        <v>440</v>
      </c>
      <c r="X152" s="158"/>
    </row>
    <row r="153" spans="1:24" x14ac:dyDescent="0.25">
      <c r="A153" s="145" t="str">
        <f t="shared" si="91"/>
        <v>R_ES-SH-FL_ELC06</v>
      </c>
      <c r="B153" s="145" t="str">
        <f>RSDTechsCE!F144</f>
        <v>RSDELC</v>
      </c>
      <c r="C153" s="145" t="str">
        <f>IF(RSDTechsCE!G144="","",RSDTechsCE!G144)</f>
        <v>RSDGHT</v>
      </c>
      <c r="D153" s="145" t="str">
        <f>IF(RSDTechsCE!H144="","",RSDTechsCE!H144)</f>
        <v>R_ES-FL-SpHeat, R_ES-FL-WatHeat</v>
      </c>
      <c r="E153" s="156">
        <v>2011</v>
      </c>
      <c r="F153" s="156">
        <f>RSDTechsCE!K144</f>
        <v>20</v>
      </c>
      <c r="G153" s="157">
        <v>1</v>
      </c>
      <c r="H153" s="156" t="str">
        <f t="shared" ref="H153:N153" si="97">IF(ISBLANK(H110),"",H110)</f>
        <v/>
      </c>
      <c r="I153" s="156" t="str">
        <f t="shared" si="97"/>
        <v/>
      </c>
      <c r="J153" s="156" t="str">
        <f t="shared" si="97"/>
        <v/>
      </c>
      <c r="K153" s="156">
        <f t="shared" si="97"/>
        <v>3</v>
      </c>
      <c r="L153" s="156" t="str">
        <f t="shared" si="97"/>
        <v/>
      </c>
      <c r="M153" s="156" t="str">
        <f t="shared" si="97"/>
        <v/>
      </c>
      <c r="N153" s="156" t="str">
        <f t="shared" si="97"/>
        <v/>
      </c>
      <c r="O153" s="157"/>
      <c r="Q153" s="145" t="s">
        <v>439</v>
      </c>
      <c r="R153" s="145" t="str">
        <f>RSDTechsCE!B144</f>
        <v>R_ES-SH-FL_ELC06</v>
      </c>
      <c r="S153" s="145" t="str">
        <f>RSDTechsCE!C144&amp;" ("&amp;RSDTechsCE!D144&amp;")"</f>
        <v>Heat Pump Ground Source Horizontal_SH-WH (FL)</v>
      </c>
      <c r="T153" s="145" t="s">
        <v>31</v>
      </c>
      <c r="U153" s="145" t="s">
        <v>440</v>
      </c>
      <c r="X153" s="158"/>
    </row>
    <row r="154" spans="1:24" x14ac:dyDescent="0.25">
      <c r="A154" s="145" t="str">
        <f t="shared" si="91"/>
        <v>R_ES-SH-FL_ELC07</v>
      </c>
      <c r="B154" s="145" t="str">
        <f>RSDTechsCE!F145</f>
        <v>RSDELC</v>
      </c>
      <c r="C154" s="145" t="str">
        <f>IF(RSDTechsCE!G145="","",RSDTechsCE!G145)</f>
        <v>RSDGHT</v>
      </c>
      <c r="D154" s="145" t="str">
        <f>IF(RSDTechsCE!H145="","",RSDTechsCE!H145)</f>
        <v>R_ES-FL-SpHeat, R_ES-FL-WatHeat, R_ES-FL-SpCool</v>
      </c>
      <c r="E154" s="156">
        <v>2011</v>
      </c>
      <c r="F154" s="156">
        <f>RSDTechsCE!K145</f>
        <v>20</v>
      </c>
      <c r="G154" s="157">
        <v>1</v>
      </c>
      <c r="H154" s="156" t="str">
        <f t="shared" ref="H154:N154" si="98">IF(ISBLANK(H111),"",H111)</f>
        <v/>
      </c>
      <c r="I154" s="156" t="str">
        <f t="shared" si="98"/>
        <v/>
      </c>
      <c r="J154" s="156">
        <f t="shared" si="98"/>
        <v>5</v>
      </c>
      <c r="K154" s="156">
        <f t="shared" si="98"/>
        <v>3</v>
      </c>
      <c r="L154" s="156" t="str">
        <f t="shared" si="98"/>
        <v/>
      </c>
      <c r="M154" s="156" t="str">
        <f t="shared" si="98"/>
        <v/>
      </c>
      <c r="N154" s="156" t="str">
        <f t="shared" si="98"/>
        <v/>
      </c>
      <c r="O154" s="157"/>
      <c r="Q154" s="145" t="s">
        <v>439</v>
      </c>
      <c r="R154" s="145" t="str">
        <f>RSDTechsCE!B145</f>
        <v>R_ES-SH-FL_ELC07</v>
      </c>
      <c r="S154" s="145" t="str">
        <f>RSDTechsCE!C145&amp;" ("&amp;RSDTechsCE!D145&amp;")"</f>
        <v>Heat Pump Ground Source Horizontal_SH-WH-SC (FL)</v>
      </c>
      <c r="T154" s="145" t="s">
        <v>31</v>
      </c>
      <c r="U154" s="145" t="s">
        <v>440</v>
      </c>
      <c r="X154" s="158"/>
    </row>
    <row r="155" spans="1:24" x14ac:dyDescent="0.25">
      <c r="A155" s="145" t="str">
        <f t="shared" si="91"/>
        <v>R_ES-SH-FL_ELC08</v>
      </c>
      <c r="B155" s="145" t="str">
        <f>RSDTechsCE!F146</f>
        <v>RSDELC</v>
      </c>
      <c r="C155" s="145" t="str">
        <f>IF(RSDTechsCE!G146="","",RSDTechsCE!G146)</f>
        <v>RSDGHT</v>
      </c>
      <c r="D155" s="145" t="str">
        <f>IF(RSDTechsCE!H146="","",RSDTechsCE!H146)</f>
        <v>R_ES-FL-SpHeat, R_ES-FL-WatHeat</v>
      </c>
      <c r="E155" s="156">
        <v>2011</v>
      </c>
      <c r="F155" s="156">
        <f>RSDTechsCE!K146</f>
        <v>20</v>
      </c>
      <c r="G155" s="157">
        <v>1</v>
      </c>
      <c r="H155" s="156" t="str">
        <f t="shared" ref="H155:N155" si="99">IF(ISBLANK(H112),"",H112)</f>
        <v/>
      </c>
      <c r="I155" s="156" t="str">
        <f t="shared" si="99"/>
        <v/>
      </c>
      <c r="J155" s="156" t="str">
        <f t="shared" si="99"/>
        <v/>
      </c>
      <c r="K155" s="156">
        <f t="shared" si="99"/>
        <v>3</v>
      </c>
      <c r="L155" s="156" t="str">
        <f t="shared" si="99"/>
        <v/>
      </c>
      <c r="M155" s="156" t="str">
        <f t="shared" si="99"/>
        <v/>
      </c>
      <c r="N155" s="156" t="str">
        <f t="shared" si="99"/>
        <v/>
      </c>
      <c r="O155" s="157"/>
      <c r="Q155" s="145" t="s">
        <v>439</v>
      </c>
      <c r="R155" s="145" t="str">
        <f>RSDTechsCE!B146</f>
        <v>R_ES-SH-FL_ELC08</v>
      </c>
      <c r="S155" s="145" t="str">
        <f>RSDTechsCE!C146&amp;" ("&amp;RSDTechsCE!D146&amp;")"</f>
        <v>Heat Pump Ground Source Vertical_SH-WH (FL)</v>
      </c>
      <c r="T155" s="145" t="s">
        <v>31</v>
      </c>
      <c r="U155" s="145" t="s">
        <v>440</v>
      </c>
      <c r="X155" s="158"/>
    </row>
    <row r="156" spans="1:24" x14ac:dyDescent="0.25">
      <c r="A156" s="145" t="str">
        <f t="shared" si="91"/>
        <v>R_ES-SH-FL_ELC09</v>
      </c>
      <c r="B156" s="145" t="str">
        <f>RSDTechsCE!F147</f>
        <v>RSDELC</v>
      </c>
      <c r="C156" s="145" t="str">
        <f>IF(RSDTechsCE!G147="","",RSDTechsCE!G147)</f>
        <v>RSDGHT</v>
      </c>
      <c r="D156" s="145" t="str">
        <f>IF(RSDTechsCE!H147="","",RSDTechsCE!H147)</f>
        <v>R_ES-FL-SpHeat, R_ES-FL-WatHeat, R_ES-FL-SpCool</v>
      </c>
      <c r="E156" s="156">
        <v>2011</v>
      </c>
      <c r="F156" s="156">
        <f>RSDTechsCE!K147</f>
        <v>20</v>
      </c>
      <c r="G156" s="157">
        <v>1</v>
      </c>
      <c r="H156" s="156" t="str">
        <f t="shared" ref="H156:N156" si="100">IF(ISBLANK(H113),"",H113)</f>
        <v/>
      </c>
      <c r="I156" s="156" t="str">
        <f t="shared" si="100"/>
        <v/>
      </c>
      <c r="J156" s="156">
        <f t="shared" si="100"/>
        <v>5</v>
      </c>
      <c r="K156" s="156">
        <f t="shared" si="100"/>
        <v>3</v>
      </c>
      <c r="L156" s="156" t="str">
        <f t="shared" si="100"/>
        <v/>
      </c>
      <c r="M156" s="156" t="str">
        <f t="shared" si="100"/>
        <v/>
      </c>
      <c r="N156" s="156" t="str">
        <f t="shared" si="100"/>
        <v/>
      </c>
      <c r="O156" s="157"/>
      <c r="Q156" s="145" t="s">
        <v>439</v>
      </c>
      <c r="R156" s="145" t="str">
        <f>RSDTechsCE!B147</f>
        <v>R_ES-SH-FL_ELC09</v>
      </c>
      <c r="S156" s="145" t="str">
        <f>RSDTechsCE!C147&amp;" ("&amp;RSDTechsCE!D147&amp;")"</f>
        <v>Heat Pump Ground Source Vertical_SH-WH-SC (FL)</v>
      </c>
      <c r="T156" s="145" t="s">
        <v>31</v>
      </c>
      <c r="U156" s="145" t="s">
        <v>440</v>
      </c>
      <c r="X156" s="158"/>
    </row>
    <row r="157" spans="1:24" x14ac:dyDescent="0.25">
      <c r="A157" s="145" t="str">
        <f t="shared" si="91"/>
        <v>R_ES-SH-FL_ELC10</v>
      </c>
      <c r="B157" s="145" t="str">
        <f>RSDTechsCE!F148</f>
        <v>RSDELC</v>
      </c>
      <c r="C157" s="145" t="str">
        <f>IF(RSDTechsCE!G148="","",RSDTechsCE!G148)</f>
        <v>RSDGHT</v>
      </c>
      <c r="D157" s="145" t="str">
        <f>IF(RSDTechsCE!H148="","",RSDTechsCE!H148)</f>
        <v>R_ES-FL-SpHeat, R_ES-FL-WatHeat</v>
      </c>
      <c r="E157" s="156">
        <v>2011</v>
      </c>
      <c r="F157" s="156">
        <f>RSDTechsCE!K148</f>
        <v>25</v>
      </c>
      <c r="G157" s="157">
        <v>1</v>
      </c>
      <c r="H157" s="156" t="str">
        <f t="shared" ref="H157:N157" si="101">IF(ISBLANK(H114),"",H114)</f>
        <v/>
      </c>
      <c r="I157" s="156" t="str">
        <f t="shared" si="101"/>
        <v/>
      </c>
      <c r="J157" s="156" t="str">
        <f t="shared" si="101"/>
        <v/>
      </c>
      <c r="K157" s="156">
        <f t="shared" si="101"/>
        <v>3.9279999999999999</v>
      </c>
      <c r="L157" s="156" t="str">
        <f t="shared" si="101"/>
        <v/>
      </c>
      <c r="M157" s="156" t="str">
        <f t="shared" si="101"/>
        <v/>
      </c>
      <c r="N157" s="156" t="str">
        <f t="shared" si="101"/>
        <v/>
      </c>
      <c r="O157" s="157"/>
      <c r="Q157" s="145" t="s">
        <v>439</v>
      </c>
      <c r="R157" s="145" t="str">
        <f>RSDTechsCE!B148</f>
        <v>R_ES-SH-FL_ELC10</v>
      </c>
      <c r="S157" s="145" t="str">
        <f>RSDTechsCE!C148&amp;" ("&amp;RSDTechsCE!D148&amp;")"</f>
        <v>Heat Pump Groundwater_SH-WH (FL)</v>
      </c>
      <c r="T157" s="145" t="s">
        <v>31</v>
      </c>
      <c r="U157" s="145" t="s">
        <v>440</v>
      </c>
      <c r="X157" s="158"/>
    </row>
    <row r="158" spans="1:24" x14ac:dyDescent="0.25">
      <c r="A158" s="159" t="str">
        <f t="shared" si="91"/>
        <v>R_ES-SH-FL_ELC11</v>
      </c>
      <c r="B158" s="159" t="str">
        <f>RSDTechsCE!F149</f>
        <v>RSDELC</v>
      </c>
      <c r="C158" s="159" t="str">
        <f>IF(RSDTechsCE!G149="","",RSDTechsCE!G149)</f>
        <v>RSDGHT</v>
      </c>
      <c r="D158" s="159" t="str">
        <f>IF(RSDTechsCE!H149="","",RSDTechsCE!H149)</f>
        <v>R_ES-FL-SpHeat, R_ES-FL-WatHeat, R_ES-FL-SpCool</v>
      </c>
      <c r="E158" s="160">
        <v>2011</v>
      </c>
      <c r="F158" s="160">
        <f>RSDTechsCE!K149</f>
        <v>25</v>
      </c>
      <c r="G158" s="161">
        <v>1</v>
      </c>
      <c r="H158" s="160" t="str">
        <f t="shared" ref="H158:N158" si="102">IF(ISBLANK(H115),"",H115)</f>
        <v/>
      </c>
      <c r="I158" s="160" t="str">
        <f t="shared" si="102"/>
        <v/>
      </c>
      <c r="J158" s="160">
        <f t="shared" si="102"/>
        <v>5</v>
      </c>
      <c r="K158" s="160">
        <f t="shared" si="102"/>
        <v>3.9279999999999999</v>
      </c>
      <c r="L158" s="160" t="str">
        <f t="shared" si="102"/>
        <v/>
      </c>
      <c r="M158" s="160" t="str">
        <f t="shared" si="102"/>
        <v/>
      </c>
      <c r="N158" s="160" t="str">
        <f t="shared" si="102"/>
        <v/>
      </c>
      <c r="O158" s="161"/>
      <c r="Q158" s="159" t="s">
        <v>439</v>
      </c>
      <c r="R158" s="159" t="str">
        <f>RSDTechsCE!B149</f>
        <v>R_ES-SH-FL_ELC11</v>
      </c>
      <c r="S158" s="159" t="str">
        <f>RSDTechsCE!C149&amp;" ("&amp;RSDTechsCE!D149&amp;")"</f>
        <v>Heat Pump Groundwater_SH-WH-SC (FL)</v>
      </c>
      <c r="T158" s="159" t="s">
        <v>31</v>
      </c>
      <c r="U158" s="159" t="s">
        <v>440</v>
      </c>
      <c r="V158" s="159"/>
      <c r="W158" s="159"/>
      <c r="X158" s="162"/>
    </row>
    <row r="159" spans="1:24" x14ac:dyDescent="0.25">
      <c r="A159" s="145" t="str">
        <f t="shared" si="91"/>
        <v>R_ES-SH-FL_GAS03</v>
      </c>
      <c r="B159" s="145" t="str">
        <f>RSDTechsCE!F150</f>
        <v>RSDGAS, RSDLPG, RSDBGS</v>
      </c>
      <c r="C159" s="145" t="str">
        <f>IF(RSDTechsCE!G150="","",RSDTechsCE!G150)</f>
        <v>RSDAHT</v>
      </c>
      <c r="D159" s="145" t="str">
        <f>IF(RSDTechsCE!H150="","",RSDTechsCE!H150)</f>
        <v>R_ES-FL-SpHeat, R_ES-FL-WatHeat</v>
      </c>
      <c r="E159" s="156">
        <v>2011</v>
      </c>
      <c r="F159" s="156">
        <f>RSDTechsCE!K150</f>
        <v>22</v>
      </c>
      <c r="G159" s="157">
        <v>1</v>
      </c>
      <c r="H159" s="156" t="str">
        <f t="shared" ref="H159:N159" si="103">IF(ISBLANK(H116),"",H116)</f>
        <v/>
      </c>
      <c r="I159" s="156" t="str">
        <f t="shared" si="103"/>
        <v/>
      </c>
      <c r="J159" s="156" t="str">
        <f t="shared" si="103"/>
        <v/>
      </c>
      <c r="K159" s="156">
        <f t="shared" si="103"/>
        <v>1.7</v>
      </c>
      <c r="L159" s="156" t="str">
        <f t="shared" si="103"/>
        <v/>
      </c>
      <c r="M159" s="156" t="str">
        <f t="shared" si="103"/>
        <v/>
      </c>
      <c r="N159" s="156" t="str">
        <f t="shared" si="103"/>
        <v/>
      </c>
      <c r="O159" s="157"/>
      <c r="Q159" s="145" t="s">
        <v>439</v>
      </c>
      <c r="R159" s="145" t="str">
        <f>RSDTechsCE!B150</f>
        <v>R_ES-SH-FL_GAS03</v>
      </c>
      <c r="S159" s="145" t="str">
        <f>RSDTechsCE!C150&amp;" ("&amp;RSDTechsCE!D150&amp;")"</f>
        <v>Gas/LPG-driven Heat Pump absorption Air-to-Water_SH-WH (FL)</v>
      </c>
      <c r="T159" s="145" t="s">
        <v>31</v>
      </c>
      <c r="U159" s="145" t="s">
        <v>440</v>
      </c>
      <c r="X159" s="158"/>
    </row>
    <row r="160" spans="1:24" x14ac:dyDescent="0.25">
      <c r="A160" s="145" t="str">
        <f t="shared" si="91"/>
        <v>R_ES-SH-FL_GAS04</v>
      </c>
      <c r="B160" s="145" t="str">
        <f>RSDTechsCE!F151</f>
        <v>RSDGAS, RSDLPG, RSDBGS</v>
      </c>
      <c r="C160" s="145" t="str">
        <f>IF(RSDTechsCE!G151="","",RSDTechsCE!G151)</f>
        <v>RSDAHT</v>
      </c>
      <c r="D160" s="145" t="str">
        <f>IF(RSDTechsCE!H151="","",RSDTechsCE!H151)</f>
        <v>R_ES-FL-SpHeat, R_ES-FL-WatHeat, R_ES-FL-SpCool</v>
      </c>
      <c r="E160" s="156">
        <v>2011</v>
      </c>
      <c r="F160" s="156">
        <f>RSDTechsCE!K151</f>
        <v>22</v>
      </c>
      <c r="G160" s="157">
        <v>1</v>
      </c>
      <c r="H160" s="156" t="str">
        <f t="shared" ref="H160:N160" si="104">IF(ISBLANK(H117),"",H117)</f>
        <v/>
      </c>
      <c r="I160" s="156" t="str">
        <f t="shared" si="104"/>
        <v/>
      </c>
      <c r="J160" s="156">
        <f t="shared" si="104"/>
        <v>3</v>
      </c>
      <c r="K160" s="156">
        <f t="shared" si="104"/>
        <v>1.7</v>
      </c>
      <c r="L160" s="156" t="str">
        <f t="shared" si="104"/>
        <v/>
      </c>
      <c r="M160" s="156" t="str">
        <f t="shared" si="104"/>
        <v/>
      </c>
      <c r="N160" s="156" t="str">
        <f t="shared" si="104"/>
        <v/>
      </c>
      <c r="O160" s="157"/>
      <c r="Q160" s="145" t="s">
        <v>439</v>
      </c>
      <c r="R160" s="145" t="str">
        <f>RSDTechsCE!B151</f>
        <v>R_ES-SH-FL_GAS04</v>
      </c>
      <c r="S160" s="145" t="str">
        <f>RSDTechsCE!C151&amp;" ("&amp;RSDTechsCE!D151&amp;")"</f>
        <v>Gas/LPG-driven Heat Pump absorption Air-to-Water_SH-WH-SC (FL)</v>
      </c>
      <c r="T160" s="145" t="s">
        <v>31</v>
      </c>
      <c r="U160" s="145" t="s">
        <v>440</v>
      </c>
      <c r="X160" s="158"/>
    </row>
    <row r="161" spans="1:24" x14ac:dyDescent="0.25">
      <c r="A161" s="145" t="str">
        <f t="shared" si="91"/>
        <v>R_ES-SH-FL_GAS05</v>
      </c>
      <c r="B161" s="145" t="str">
        <f>RSDTechsCE!F152</f>
        <v>RSDGAS, RSDLPG, RSDBGS</v>
      </c>
      <c r="C161" s="145" t="str">
        <f>IF(RSDTechsCE!G152="","",RSDTechsCE!G152)</f>
        <v>RSDAHT</v>
      </c>
      <c r="D161" s="145" t="str">
        <f>IF(RSDTechsCE!H152="","",RSDTechsCE!H152)</f>
        <v>R_ES-FL-SpHeat, R_ES-FL-WatHeat</v>
      </c>
      <c r="E161" s="156">
        <v>2011</v>
      </c>
      <c r="F161" s="156">
        <f>RSDTechsCE!K152</f>
        <v>20</v>
      </c>
      <c r="G161" s="157">
        <v>1</v>
      </c>
      <c r="H161" s="156" t="str">
        <f t="shared" ref="H161:N161" si="105">IF(ISBLANK(H118),"",H118)</f>
        <v/>
      </c>
      <c r="I161" s="156" t="str">
        <f t="shared" si="105"/>
        <v/>
      </c>
      <c r="J161" s="156" t="str">
        <f t="shared" si="105"/>
        <v/>
      </c>
      <c r="K161" s="156">
        <f t="shared" si="105"/>
        <v>1.1200000000000001</v>
      </c>
      <c r="L161" s="156" t="str">
        <f t="shared" si="105"/>
        <v/>
      </c>
      <c r="M161" s="156" t="str">
        <f t="shared" si="105"/>
        <v/>
      </c>
      <c r="N161" s="156" t="str">
        <f t="shared" si="105"/>
        <v/>
      </c>
      <c r="O161" s="157"/>
      <c r="Q161" s="145" t="s">
        <v>439</v>
      </c>
      <c r="R161" s="145" t="str">
        <f>RSDTechsCE!B152</f>
        <v>R_ES-SH-FL_GAS05</v>
      </c>
      <c r="S161" s="145" t="str">
        <f>RSDTechsCE!C152&amp;" ("&amp;RSDTechsCE!D152&amp;")"</f>
        <v>Gas/LPG-driven Heat Pump absorption brine to water + Solar th collectors_SH-WH (FL)</v>
      </c>
      <c r="T161" s="145" t="s">
        <v>31</v>
      </c>
      <c r="U161" s="145" t="s">
        <v>440</v>
      </c>
      <c r="X161" s="158"/>
    </row>
    <row r="162" spans="1:24" x14ac:dyDescent="0.25">
      <c r="A162" s="145" t="str">
        <f t="shared" si="91"/>
        <v>R_ES-SH-FL_GAS06</v>
      </c>
      <c r="B162" s="145" t="str">
        <f>RSDTechsCE!F153</f>
        <v>RSDGAS, RSDLPG, RSDBGS</v>
      </c>
      <c r="C162" s="145" t="str">
        <f>IF(RSDTechsCE!G153="","",RSDTechsCE!G153)</f>
        <v>RSDAHT</v>
      </c>
      <c r="D162" s="145" t="str">
        <f>IF(RSDTechsCE!H153="","",RSDTechsCE!H153)</f>
        <v>R_ES-FL-SpHeat, R_ES-FL-WatHeat, R_ES-FL-SpCool</v>
      </c>
      <c r="E162" s="156">
        <v>2011</v>
      </c>
      <c r="F162" s="156">
        <f>RSDTechsCE!K153</f>
        <v>20</v>
      </c>
      <c r="G162" s="157">
        <v>1</v>
      </c>
      <c r="H162" s="156" t="str">
        <f t="shared" ref="H162:N162" si="106">IF(ISBLANK(H119),"",H119)</f>
        <v/>
      </c>
      <c r="I162" s="156" t="str">
        <f t="shared" si="106"/>
        <v/>
      </c>
      <c r="J162" s="156">
        <f t="shared" si="106"/>
        <v>3</v>
      </c>
      <c r="K162" s="156">
        <f t="shared" si="106"/>
        <v>1.1200000000000001</v>
      </c>
      <c r="L162" s="156" t="str">
        <f t="shared" si="106"/>
        <v/>
      </c>
      <c r="M162" s="156" t="str">
        <f t="shared" si="106"/>
        <v/>
      </c>
      <c r="N162" s="156" t="str">
        <f t="shared" si="106"/>
        <v/>
      </c>
      <c r="O162" s="157"/>
      <c r="Q162" s="145" t="s">
        <v>439</v>
      </c>
      <c r="R162" s="145" t="str">
        <f>RSDTechsCE!B153</f>
        <v>R_ES-SH-FL_GAS06</v>
      </c>
      <c r="S162" s="145" t="str">
        <f>RSDTechsCE!C153&amp;" ("&amp;RSDTechsCE!D153&amp;")"</f>
        <v>Gas/LPG-driven Heat Pump absorption brine to water + Solar th collectors_SH-WH-SC (FL)</v>
      </c>
      <c r="T162" s="145" t="s">
        <v>31</v>
      </c>
      <c r="U162" s="145" t="s">
        <v>440</v>
      </c>
      <c r="X162" s="158"/>
    </row>
    <row r="163" spans="1:24" x14ac:dyDescent="0.25">
      <c r="A163" s="145" t="str">
        <f t="shared" si="91"/>
        <v>R_ES-SH-FL_GAS07</v>
      </c>
      <c r="B163" s="145" t="str">
        <f>RSDTechsCE!F154</f>
        <v>RSDGAS, RSDLPG, RSDBGS</v>
      </c>
      <c r="C163" s="145" t="str">
        <f>IF(RSDTechsCE!G154="","",RSDTechsCE!G154)</f>
        <v>RSDAHT</v>
      </c>
      <c r="D163" s="145" t="str">
        <f>IF(RSDTechsCE!H154="","",RSDTechsCE!H154)</f>
        <v>R_ES-FL-SpHeat, R_ES-FL-WatHeat</v>
      </c>
      <c r="E163" s="156">
        <v>2011</v>
      </c>
      <c r="F163" s="156">
        <f>RSDTechsCE!K154</f>
        <v>20</v>
      </c>
      <c r="G163" s="157">
        <v>1</v>
      </c>
      <c r="H163" s="156" t="str">
        <f t="shared" ref="H163:N163" si="107">IF(ISBLANK(H120),"",H120)</f>
        <v/>
      </c>
      <c r="I163" s="156" t="str">
        <f t="shared" si="107"/>
        <v/>
      </c>
      <c r="J163" s="156" t="str">
        <f t="shared" si="107"/>
        <v/>
      </c>
      <c r="K163" s="156">
        <f t="shared" si="107"/>
        <v>1.55</v>
      </c>
      <c r="L163" s="156" t="str">
        <f t="shared" si="107"/>
        <v/>
      </c>
      <c r="M163" s="156" t="str">
        <f t="shared" si="107"/>
        <v/>
      </c>
      <c r="N163" s="156" t="str">
        <f t="shared" si="107"/>
        <v/>
      </c>
      <c r="O163" s="157"/>
      <c r="Q163" s="145" t="s">
        <v>439</v>
      </c>
      <c r="R163" s="145" t="str">
        <f>RSDTechsCE!B154</f>
        <v>R_ES-SH-FL_GAS07</v>
      </c>
      <c r="S163" s="145" t="str">
        <f>RSDTechsCE!C154&amp;" ("&amp;RSDTechsCE!D154&amp;")"</f>
        <v>Gas/LPG-driven Heat Pump engine Air-to-Water_SH-WH (FL)</v>
      </c>
      <c r="T163" s="145" t="s">
        <v>31</v>
      </c>
      <c r="U163" s="145" t="s">
        <v>440</v>
      </c>
      <c r="X163" s="158"/>
    </row>
    <row r="164" spans="1:24" x14ac:dyDescent="0.25">
      <c r="A164" s="159" t="str">
        <f t="shared" si="91"/>
        <v>R_ES-SH-FL_GAS08</v>
      </c>
      <c r="B164" s="159" t="str">
        <f>RSDTechsCE!F155</f>
        <v>RSDGAS, RSDLPG, RSDBGS</v>
      </c>
      <c r="C164" s="159" t="str">
        <f>IF(RSDTechsCE!G155="","",RSDTechsCE!G155)</f>
        <v>RSDAHT</v>
      </c>
      <c r="D164" s="159" t="str">
        <f>IF(RSDTechsCE!H155="","",RSDTechsCE!H155)</f>
        <v>R_ES-FL-SpHeat, R_ES-FL-WatHeat, R_ES-FL-SpCool</v>
      </c>
      <c r="E164" s="160">
        <v>2011</v>
      </c>
      <c r="F164" s="160">
        <f>RSDTechsCE!K155</f>
        <v>20</v>
      </c>
      <c r="G164" s="161">
        <v>1</v>
      </c>
      <c r="H164" s="160" t="str">
        <f t="shared" ref="H164:N164" si="108">IF(ISBLANK(H121),"",H121)</f>
        <v/>
      </c>
      <c r="I164" s="160" t="str">
        <f t="shared" si="108"/>
        <v/>
      </c>
      <c r="J164" s="160">
        <f t="shared" si="108"/>
        <v>3</v>
      </c>
      <c r="K164" s="160">
        <f t="shared" si="108"/>
        <v>1.55</v>
      </c>
      <c r="L164" s="160" t="str">
        <f t="shared" si="108"/>
        <v/>
      </c>
      <c r="M164" s="160" t="str">
        <f t="shared" si="108"/>
        <v/>
      </c>
      <c r="N164" s="160" t="str">
        <f t="shared" si="108"/>
        <v/>
      </c>
      <c r="O164" s="161"/>
      <c r="Q164" s="159" t="s">
        <v>439</v>
      </c>
      <c r="R164" s="159" t="str">
        <f>RSDTechsCE!B155</f>
        <v>R_ES-SH-FL_GAS08</v>
      </c>
      <c r="S164" s="159" t="str">
        <f>RSDTechsCE!C155&amp;" ("&amp;RSDTechsCE!D155&amp;")"</f>
        <v>Gas/LPG-driven Heat Pump engine Air-to-Water_SH-WH-SC (FL)</v>
      </c>
      <c r="T164" s="159" t="s">
        <v>31</v>
      </c>
      <c r="U164" s="159" t="s">
        <v>440</v>
      </c>
      <c r="V164" s="159"/>
      <c r="W164" s="159"/>
      <c r="X164" s="162"/>
    </row>
    <row r="165" spans="1:24" x14ac:dyDescent="0.25">
      <c r="A165" s="145" t="str">
        <f t="shared" si="91"/>
        <v>R_ES-CHP-FL_GAS01</v>
      </c>
      <c r="B165" s="145" t="str">
        <f>RSDTechsCE!F156</f>
        <v>RSDGAS, RSDLPG, RSDBGS</v>
      </c>
      <c r="C165" s="145" t="str">
        <f>IF(RSDTechsCE!G156="","",RSDTechsCE!G156)</f>
        <v/>
      </c>
      <c r="D165" s="145" t="str">
        <f>IF(RSDTechsCE!H156="","",RSDTechsCE!H156)</f>
        <v>RSDELC, R_ES-FL-SpHeat,R_ES-FL-WatHeat</v>
      </c>
      <c r="E165" s="156">
        <v>2011</v>
      </c>
      <c r="F165" s="156">
        <f>RSDTechsCE!K156</f>
        <v>10</v>
      </c>
      <c r="G165" s="157">
        <v>1</v>
      </c>
      <c r="H165" s="156">
        <f t="shared" ref="H165:N165" si="109">IF(ISBLANK(H122),"",H122)</f>
        <v>0.26</v>
      </c>
      <c r="I165" s="156" t="str">
        <f t="shared" si="109"/>
        <v/>
      </c>
      <c r="J165" s="156" t="str">
        <f t="shared" si="109"/>
        <v/>
      </c>
      <c r="K165" s="156" t="str">
        <f t="shared" si="109"/>
        <v/>
      </c>
      <c r="L165" s="156">
        <f t="shared" si="109"/>
        <v>2.4615384615384617</v>
      </c>
      <c r="M165" s="156">
        <f t="shared" si="109"/>
        <v>2.4615384615384617</v>
      </c>
      <c r="N165" s="156">
        <f t="shared" si="109"/>
        <v>2.4615384615384617</v>
      </c>
      <c r="O165" s="157"/>
      <c r="Q165" s="145" t="s">
        <v>388</v>
      </c>
      <c r="R165" s="145" t="str">
        <f>RSDTechsCE!B156</f>
        <v>R_ES-CHP-FL_GAS01</v>
      </c>
      <c r="S165" s="145" t="str">
        <f>RSDTechsCE!C156&amp;" ("&amp;RSDTechsCE!D156&amp;")"</f>
        <v>CHP engines – Natural Gas micro turbine  (FL)</v>
      </c>
      <c r="T165" s="145" t="s">
        <v>31</v>
      </c>
      <c r="U165" s="145" t="s">
        <v>440</v>
      </c>
      <c r="X165" s="158"/>
    </row>
    <row r="166" spans="1:24" x14ac:dyDescent="0.25">
      <c r="A166" s="145" t="str">
        <f t="shared" si="91"/>
        <v>R_ES-CHP-FL_OIL01</v>
      </c>
      <c r="B166" s="145" t="str">
        <f>RSDTechsCE!F157</f>
        <v>RSDOIL, RSDBDL</v>
      </c>
      <c r="C166" s="145" t="str">
        <f>IF(RSDTechsCE!G157="","",RSDTechsCE!G157)</f>
        <v/>
      </c>
      <c r="D166" s="145" t="str">
        <f>IF(RSDTechsCE!H157="","",RSDTechsCE!H157)</f>
        <v>RSDELC, R_ES-FL-SpHeat,R_ES-FL-WatHeat</v>
      </c>
      <c r="E166" s="156">
        <v>2011</v>
      </c>
      <c r="F166" s="156">
        <f>RSDTechsCE!K157</f>
        <v>10</v>
      </c>
      <c r="G166" s="157">
        <v>1</v>
      </c>
      <c r="H166" s="156">
        <f t="shared" ref="H166:N166" si="110">IF(ISBLANK(H123),"",H123)</f>
        <v>0.26</v>
      </c>
      <c r="I166" s="156" t="str">
        <f t="shared" si="110"/>
        <v/>
      </c>
      <c r="J166" s="156" t="str">
        <f t="shared" si="110"/>
        <v/>
      </c>
      <c r="K166" s="156" t="str">
        <f t="shared" si="110"/>
        <v/>
      </c>
      <c r="L166" s="156">
        <f t="shared" si="110"/>
        <v>2.4615384615384617</v>
      </c>
      <c r="M166" s="156">
        <f t="shared" si="110"/>
        <v>2.4615384615384617</v>
      </c>
      <c r="N166" s="156">
        <f t="shared" si="110"/>
        <v>2.4615384615384617</v>
      </c>
      <c r="O166" s="157"/>
      <c r="Q166" s="145" t="s">
        <v>388</v>
      </c>
      <c r="R166" s="145" t="str">
        <f>RSDTechsCE!B157</f>
        <v>R_ES-CHP-FL_OIL01</v>
      </c>
      <c r="S166" s="145" t="str">
        <f>RSDTechsCE!C157&amp;" ("&amp;RSDTechsCE!D157&amp;")"</f>
        <v>CHP engines – Diesel micro turbine  (FL)</v>
      </c>
      <c r="T166" s="145" t="s">
        <v>31</v>
      </c>
      <c r="U166" s="145" t="s">
        <v>440</v>
      </c>
      <c r="X166" s="158"/>
    </row>
    <row r="167" spans="1:24" x14ac:dyDescent="0.25">
      <c r="A167" s="145" t="str">
        <f t="shared" si="91"/>
        <v>R_ES-CHP-FL_GAS02</v>
      </c>
      <c r="B167" s="145" t="str">
        <f>RSDTechsCE!F158</f>
        <v>RSDGAS, RSDLPG, RSDBGS</v>
      </c>
      <c r="C167" s="145" t="str">
        <f>IF(RSDTechsCE!G158="","",RSDTechsCE!G158)</f>
        <v/>
      </c>
      <c r="D167" s="145" t="str">
        <f>IF(RSDTechsCE!H158="","",RSDTechsCE!H158)</f>
        <v>RSDELC, R_ES-FL-SpHeat,R_ES-FL-WatHeat</v>
      </c>
      <c r="E167" s="156">
        <v>2011</v>
      </c>
      <c r="F167" s="156">
        <f>RSDTechsCE!K158</f>
        <v>10</v>
      </c>
      <c r="G167" s="157">
        <v>1</v>
      </c>
      <c r="H167" s="156">
        <f t="shared" ref="H167:N167" si="111">IF(ISBLANK(H124),"",H124)</f>
        <v>0.2</v>
      </c>
      <c r="I167" s="156" t="str">
        <f t="shared" si="111"/>
        <v/>
      </c>
      <c r="J167" s="156" t="str">
        <f t="shared" si="111"/>
        <v/>
      </c>
      <c r="K167" s="156" t="str">
        <f t="shared" si="111"/>
        <v/>
      </c>
      <c r="L167" s="156">
        <f t="shared" si="111"/>
        <v>2.25</v>
      </c>
      <c r="M167" s="156">
        <f t="shared" si="111"/>
        <v>2.1818181818181817</v>
      </c>
      <c r="N167" s="156">
        <f t="shared" si="111"/>
        <v>1.9</v>
      </c>
      <c r="O167" s="157"/>
      <c r="Q167" s="145" t="s">
        <v>388</v>
      </c>
      <c r="R167" s="145" t="str">
        <f>RSDTechsCE!B158</f>
        <v>R_ES-CHP-FL_GAS02</v>
      </c>
      <c r="S167" s="145" t="str">
        <f>RSDTechsCE!C158&amp;" ("&amp;RSDTechsCE!D158&amp;")"</f>
        <v>CHP engines – Natural Gas internal combustion engine (FL)</v>
      </c>
      <c r="T167" s="145" t="s">
        <v>31</v>
      </c>
      <c r="U167" s="145" t="s">
        <v>440</v>
      </c>
      <c r="X167" s="158"/>
    </row>
    <row r="168" spans="1:24" x14ac:dyDescent="0.25">
      <c r="A168" s="145" t="str">
        <f t="shared" si="91"/>
        <v>R_ES-CHP-FL_OIL02</v>
      </c>
      <c r="B168" s="145" t="str">
        <f>RSDTechsCE!F159</f>
        <v>RSDOIL, RSDBDL</v>
      </c>
      <c r="C168" s="145" t="str">
        <f>IF(RSDTechsCE!G159="","",RSDTechsCE!G159)</f>
        <v/>
      </c>
      <c r="D168" s="145" t="str">
        <f>IF(RSDTechsCE!H159="","",RSDTechsCE!H159)</f>
        <v>RSDELC, R_ES-FL-SpHeat,R_ES-FL-WatHeat</v>
      </c>
      <c r="E168" s="156">
        <v>2011</v>
      </c>
      <c r="F168" s="156">
        <f>RSDTechsCE!K159</f>
        <v>10</v>
      </c>
      <c r="G168" s="157">
        <v>1</v>
      </c>
      <c r="H168" s="156">
        <f t="shared" ref="H168:N168" si="112">IF(ISBLANK(H125),"",H125)</f>
        <v>0.2</v>
      </c>
      <c r="I168" s="156" t="str">
        <f t="shared" si="112"/>
        <v/>
      </c>
      <c r="J168" s="156" t="str">
        <f t="shared" si="112"/>
        <v/>
      </c>
      <c r="K168" s="156" t="str">
        <f t="shared" si="112"/>
        <v/>
      </c>
      <c r="L168" s="156">
        <f t="shared" si="112"/>
        <v>2.25</v>
      </c>
      <c r="M168" s="156">
        <f t="shared" si="112"/>
        <v>2.1818181818181817</v>
      </c>
      <c r="N168" s="156">
        <f t="shared" si="112"/>
        <v>1.9</v>
      </c>
      <c r="O168" s="157"/>
      <c r="Q168" s="145" t="s">
        <v>388</v>
      </c>
      <c r="R168" s="145" t="str">
        <f>RSDTechsCE!B159</f>
        <v>R_ES-CHP-FL_OIL02</v>
      </c>
      <c r="S168" s="145" t="str">
        <f>RSDTechsCE!C159&amp;" ("&amp;RSDTechsCE!D159&amp;")"</f>
        <v>CHP engines – Diesel internal combustion engine  (FL)</v>
      </c>
      <c r="T168" s="145" t="s">
        <v>31</v>
      </c>
      <c r="U168" s="145" t="s">
        <v>440</v>
      </c>
      <c r="X168" s="158"/>
    </row>
    <row r="169" spans="1:24" x14ac:dyDescent="0.25">
      <c r="A169" s="145" t="str">
        <f t="shared" si="91"/>
        <v>R_ES-CHP-FL_GAS03</v>
      </c>
      <c r="B169" s="145" t="str">
        <f>RSDTechsCE!F160</f>
        <v>RSDGAS, RSDLPG, RSDBGS</v>
      </c>
      <c r="C169" s="145" t="str">
        <f>IF(RSDTechsCE!G160="","",RSDTechsCE!G160)</f>
        <v/>
      </c>
      <c r="D169" s="145" t="str">
        <f>IF(RSDTechsCE!H160="","",RSDTechsCE!H160)</f>
        <v>RSDELC, R_ES-FL-SpHeat,R_ES-FL-WatHeat</v>
      </c>
      <c r="E169" s="156">
        <v>2011</v>
      </c>
      <c r="F169" s="156">
        <f>RSDTechsCE!K160</f>
        <v>10</v>
      </c>
      <c r="G169" s="157">
        <v>1</v>
      </c>
      <c r="H169" s="156">
        <f t="shared" ref="H169:N169" si="113">IF(ISBLANK(H126),"",H126)</f>
        <v>0.12</v>
      </c>
      <c r="I169" s="156" t="str">
        <f t="shared" si="113"/>
        <v/>
      </c>
      <c r="J169" s="156" t="str">
        <f t="shared" si="113"/>
        <v/>
      </c>
      <c r="K169" s="156" t="str">
        <f t="shared" si="113"/>
        <v/>
      </c>
      <c r="L169" s="156">
        <f t="shared" si="113"/>
        <v>5.4583333333333339</v>
      </c>
      <c r="M169" s="156">
        <f t="shared" si="113"/>
        <v>4.7142857142857144</v>
      </c>
      <c r="N169" s="156">
        <f t="shared" si="113"/>
        <v>4.1562499999999991</v>
      </c>
      <c r="O169" s="157"/>
      <c r="Q169" s="145" t="s">
        <v>388</v>
      </c>
      <c r="R169" s="145" t="str">
        <f>RSDTechsCE!B160</f>
        <v>R_ES-CHP-FL_GAS03</v>
      </c>
      <c r="S169" s="145" t="str">
        <f>RSDTechsCE!C160&amp;" ("&amp;RSDTechsCE!D160&amp;")"</f>
        <v>CHP engines – Stirling engine (FL)</v>
      </c>
      <c r="T169" s="145" t="s">
        <v>31</v>
      </c>
      <c r="U169" s="145" t="s">
        <v>440</v>
      </c>
      <c r="X169" s="158"/>
    </row>
    <row r="170" spans="1:24" x14ac:dyDescent="0.25">
      <c r="A170" s="145" t="str">
        <f t="shared" si="91"/>
        <v>R_ES-CHP-FL_GAS04</v>
      </c>
      <c r="B170" s="145" t="str">
        <f>RSDTechsCE!F161</f>
        <v>RSDGAS</v>
      </c>
      <c r="C170" s="145" t="str">
        <f>IF(RSDTechsCE!G161="","",RSDTechsCE!G161)</f>
        <v/>
      </c>
      <c r="D170" s="145" t="str">
        <f>IF(RSDTechsCE!H161="","",RSDTechsCE!H161)</f>
        <v>RSDELC, R_ES-FL-SpHeat,R_ES-FL-WatHeat</v>
      </c>
      <c r="E170" s="156">
        <v>2011</v>
      </c>
      <c r="F170" s="156">
        <f>RSDTechsCE!K161</f>
        <v>10</v>
      </c>
      <c r="G170" s="157">
        <v>1</v>
      </c>
      <c r="H170" s="156">
        <f t="shared" ref="H170:N170" si="114">IF(ISBLANK(H127),"",H127)</f>
        <v>0.375</v>
      </c>
      <c r="I170" s="156" t="str">
        <f t="shared" si="114"/>
        <v/>
      </c>
      <c r="J170" s="156" t="str">
        <f t="shared" si="114"/>
        <v/>
      </c>
      <c r="K170" s="156" t="str">
        <f t="shared" si="114"/>
        <v/>
      </c>
      <c r="L170" s="156">
        <f t="shared" si="114"/>
        <v>0.46666666666666679</v>
      </c>
      <c r="M170" s="156">
        <f t="shared" si="114"/>
        <v>0.16666666666666669</v>
      </c>
      <c r="N170" s="156">
        <f t="shared" si="114"/>
        <v>0.10526315789473695</v>
      </c>
      <c r="O170" s="157"/>
      <c r="Q170" s="145" t="s">
        <v>388</v>
      </c>
      <c r="R170" s="145" t="str">
        <f>RSDTechsCE!B161</f>
        <v>R_ES-CHP-FL_GAS04</v>
      </c>
      <c r="S170" s="145" t="str">
        <f>RSDTechsCE!C161&amp;" ("&amp;RSDTechsCE!D161&amp;")"</f>
        <v>CHP fuel cells – Natural Gas fuel cell (FL)</v>
      </c>
      <c r="T170" s="145" t="s">
        <v>31</v>
      </c>
      <c r="U170" s="145" t="s">
        <v>440</v>
      </c>
      <c r="X170" s="158"/>
    </row>
    <row r="171" spans="1:24" x14ac:dyDescent="0.25">
      <c r="A171" s="145" t="str">
        <f t="shared" si="91"/>
        <v>R_ES-CHP-FL_HH201</v>
      </c>
      <c r="B171" s="145" t="str">
        <f>RSDTechsCE!F162</f>
        <v>RSDHH2</v>
      </c>
      <c r="C171" s="145" t="str">
        <f>IF(RSDTechsCE!G162="","",RSDTechsCE!G162)</f>
        <v/>
      </c>
      <c r="D171" s="145" t="str">
        <f>IF(RSDTechsCE!H162="","",RSDTechsCE!H162)</f>
        <v>RSDELC, R_ES-FL-SpHeat,R_ES-FL-WatHeat</v>
      </c>
      <c r="E171" s="156">
        <v>2011</v>
      </c>
      <c r="F171" s="156">
        <f>RSDTechsCE!K162</f>
        <v>10</v>
      </c>
      <c r="G171" s="157">
        <v>1</v>
      </c>
      <c r="H171" s="156">
        <f t="shared" ref="H171:N171" si="115">IF(ISBLANK(H128),"",H128)</f>
        <v>0.47499999999999998</v>
      </c>
      <c r="I171" s="156" t="str">
        <f t="shared" si="115"/>
        <v/>
      </c>
      <c r="J171" s="156" t="str">
        <f t="shared" si="115"/>
        <v/>
      </c>
      <c r="K171" s="156" t="str">
        <f t="shared" si="115"/>
        <v/>
      </c>
      <c r="L171" s="156">
        <f t="shared" si="115"/>
        <v>0.84</v>
      </c>
      <c r="M171" s="156">
        <f t="shared" si="115"/>
        <v>0.84</v>
      </c>
      <c r="N171" s="156">
        <f t="shared" si="115"/>
        <v>0.84</v>
      </c>
      <c r="O171" s="157"/>
      <c r="Q171" s="145" t="s">
        <v>388</v>
      </c>
      <c r="R171" s="145" t="str">
        <f>RSDTechsCE!B162</f>
        <v>R_ES-CHP-FL_HH201</v>
      </c>
      <c r="S171" s="145" t="str">
        <f>RSDTechsCE!C162&amp;" ("&amp;RSDTechsCE!D162&amp;")"</f>
        <v>CHP fuel cells – Hydrogen fuel cell (FL)</v>
      </c>
      <c r="T171" s="145" t="s">
        <v>31</v>
      </c>
      <c r="U171" s="145" t="s">
        <v>440</v>
      </c>
      <c r="X171" s="158"/>
    </row>
    <row r="172" spans="1:24" x14ac:dyDescent="0.25">
      <c r="A172" s="145" t="str">
        <f t="shared" si="91"/>
        <v>R_ES-CHP-FL-GASspl</v>
      </c>
      <c r="B172" s="145" t="str">
        <f>RSDTechsCE!F163</f>
        <v>RSDLPG, RSDBGS, RSDGAS</v>
      </c>
      <c r="C172" s="145" t="str">
        <f>IF(RSDTechsCE!G163="","",RSDTechsCE!G163)</f>
        <v/>
      </c>
      <c r="D172" s="145" t="str">
        <f>IF(RSDTechsCE!H163="","",RSDTechsCE!H163)</f>
        <v>R_ES-FL-SpHeat, R_ES-FL-WatHeat</v>
      </c>
      <c r="E172" s="156">
        <v>2011</v>
      </c>
      <c r="F172" s="156">
        <f>RSDTechsCE!K163</f>
        <v>20</v>
      </c>
      <c r="G172" s="157">
        <v>1</v>
      </c>
      <c r="H172" s="156" t="str">
        <f t="shared" ref="H172:N172" si="116">IF(ISBLANK(H129),"",H129)</f>
        <v/>
      </c>
      <c r="I172" s="156">
        <f t="shared" si="116"/>
        <v>0.95</v>
      </c>
      <c r="J172" s="156" t="str">
        <f t="shared" si="116"/>
        <v/>
      </c>
      <c r="K172" s="156">
        <f t="shared" si="116"/>
        <v>0.66499999999999992</v>
      </c>
      <c r="L172" s="156" t="str">
        <f t="shared" si="116"/>
        <v/>
      </c>
      <c r="M172" s="156" t="str">
        <f t="shared" si="116"/>
        <v/>
      </c>
      <c r="N172" s="156" t="str">
        <f t="shared" si="116"/>
        <v/>
      </c>
      <c r="O172" s="157"/>
      <c r="Q172" s="145" t="s">
        <v>439</v>
      </c>
      <c r="R172" s="145" t="str">
        <f>RSDTechsCE!B163</f>
        <v>R_ES-CHP-FL-GASspl</v>
      </c>
      <c r="S172" s="145" t="str">
        <f>RSDTechsCE!C163&amp;" ("&amp;RSDTechsCE!D163&amp;")"</f>
        <v>Backup for CHPs - Natural Gas boiler (FL)</v>
      </c>
      <c r="T172" s="145" t="s">
        <v>31</v>
      </c>
      <c r="U172" s="145" t="s">
        <v>440</v>
      </c>
      <c r="X172" s="158"/>
    </row>
    <row r="173" spans="1:24" x14ac:dyDescent="0.25">
      <c r="A173" s="145" t="str">
        <f t="shared" si="91"/>
        <v>R_ES-CHP-FL-OILspl</v>
      </c>
      <c r="B173" s="145" t="str">
        <f>RSDTechsCE!F164</f>
        <v>RSDBDL, RSDOIL</v>
      </c>
      <c r="C173" s="145" t="str">
        <f>IF(RSDTechsCE!G164="","",RSDTechsCE!G164)</f>
        <v/>
      </c>
      <c r="D173" s="145" t="str">
        <f>IF(RSDTechsCE!H164="","",RSDTechsCE!H164)</f>
        <v>R_ES-FL-SpHeat, R_ES-FL-WatHeat</v>
      </c>
      <c r="E173" s="156">
        <v>2011</v>
      </c>
      <c r="F173" s="156">
        <f>RSDTechsCE!K164</f>
        <v>22</v>
      </c>
      <c r="G173" s="157">
        <v>1</v>
      </c>
      <c r="H173" s="156" t="str">
        <f t="shared" ref="H173:N173" si="117">IF(ISBLANK(H130),"",H130)</f>
        <v/>
      </c>
      <c r="I173" s="156">
        <f t="shared" si="117"/>
        <v>0.9</v>
      </c>
      <c r="J173" s="156" t="str">
        <f t="shared" si="117"/>
        <v/>
      </c>
      <c r="K173" s="156">
        <f t="shared" si="117"/>
        <v>0.63</v>
      </c>
      <c r="L173" s="156" t="str">
        <f t="shared" si="117"/>
        <v/>
      </c>
      <c r="M173" s="156" t="str">
        <f t="shared" si="117"/>
        <v/>
      </c>
      <c r="N173" s="156" t="str">
        <f t="shared" si="117"/>
        <v/>
      </c>
      <c r="O173" s="157"/>
      <c r="Q173" s="145" t="s">
        <v>439</v>
      </c>
      <c r="R173" s="145" t="str">
        <f>RSDTechsCE!B164</f>
        <v>R_ES-CHP-FL-OILspl</v>
      </c>
      <c r="S173" s="145" t="str">
        <f>RSDTechsCE!C164&amp;" ("&amp;RSDTechsCE!D164&amp;")"</f>
        <v>Backup for CHPs - Oil boiler (FL)</v>
      </c>
      <c r="T173" s="145" t="s">
        <v>31</v>
      </c>
      <c r="U173" s="145" t="s">
        <v>440</v>
      </c>
      <c r="X173" s="158"/>
    </row>
    <row r="174" spans="1:24" x14ac:dyDescent="0.25">
      <c r="E174" s="156"/>
      <c r="F174" s="156"/>
      <c r="G174" s="163"/>
      <c r="H174" s="156"/>
      <c r="I174" s="156"/>
      <c r="J174" s="156"/>
      <c r="K174" s="156"/>
      <c r="L174" s="156"/>
      <c r="M174" s="156"/>
      <c r="N174" s="156"/>
      <c r="O174" s="157"/>
      <c r="X174" s="158"/>
    </row>
    <row r="175" spans="1:24" x14ac:dyDescent="0.25">
      <c r="E175" s="156"/>
      <c r="F175" s="156"/>
      <c r="G175" s="163"/>
      <c r="H175" s="156"/>
      <c r="I175" s="156"/>
      <c r="J175" s="156"/>
      <c r="K175" s="156"/>
      <c r="L175" s="156"/>
      <c r="M175" s="156"/>
      <c r="N175" s="156"/>
      <c r="O175" s="157"/>
      <c r="X175" s="158"/>
    </row>
    <row r="176" spans="1:24" x14ac:dyDescent="0.25">
      <c r="E176" s="156"/>
      <c r="F176" s="156"/>
      <c r="G176" s="163"/>
      <c r="H176" s="156"/>
      <c r="I176" s="156"/>
      <c r="J176" s="156"/>
      <c r="K176" s="156"/>
      <c r="L176" s="156"/>
      <c r="M176" s="156"/>
      <c r="N176" s="156"/>
      <c r="O176" s="157"/>
      <c r="X176" s="158"/>
    </row>
    <row r="177" spans="5:24" x14ac:dyDescent="0.25">
      <c r="E177" s="156"/>
      <c r="F177" s="156"/>
      <c r="G177" s="163"/>
      <c r="H177" s="156"/>
      <c r="I177" s="156"/>
      <c r="J177" s="156"/>
      <c r="K177" s="156"/>
      <c r="L177" s="156"/>
      <c r="M177" s="156"/>
      <c r="N177" s="156"/>
      <c r="O177" s="157"/>
      <c r="X177" s="158"/>
    </row>
    <row r="178" spans="5:24" x14ac:dyDescent="0.25">
      <c r="E178" s="156"/>
      <c r="F178" s="156"/>
      <c r="G178" s="163"/>
      <c r="H178" s="156"/>
      <c r="I178" s="156"/>
      <c r="J178" s="156"/>
      <c r="K178" s="156"/>
      <c r="L178" s="156"/>
      <c r="M178" s="156"/>
      <c r="N178" s="156"/>
      <c r="O178" s="157"/>
      <c r="X178" s="158"/>
    </row>
    <row r="179" spans="5:24" x14ac:dyDescent="0.25">
      <c r="E179" s="156"/>
      <c r="F179" s="156"/>
      <c r="G179" s="163"/>
      <c r="H179" s="156"/>
      <c r="I179" s="156"/>
      <c r="J179" s="156"/>
      <c r="K179" s="156"/>
      <c r="L179" s="156"/>
      <c r="M179" s="156"/>
      <c r="N179" s="156"/>
      <c r="O179" s="157"/>
      <c r="X179" s="158"/>
    </row>
    <row r="180" spans="5:24" x14ac:dyDescent="0.25">
      <c r="E180" s="156"/>
      <c r="F180" s="156"/>
      <c r="G180" s="163"/>
      <c r="H180" s="156"/>
      <c r="I180" s="156"/>
      <c r="J180" s="156"/>
      <c r="K180" s="156"/>
      <c r="L180" s="156"/>
      <c r="M180" s="156"/>
      <c r="N180" s="156"/>
      <c r="O180" s="157"/>
      <c r="X180" s="158"/>
    </row>
    <row r="181" spans="5:24" x14ac:dyDescent="0.25">
      <c r="E181" s="156"/>
      <c r="F181" s="156"/>
      <c r="G181" s="163"/>
      <c r="H181" s="156"/>
      <c r="I181" s="156"/>
      <c r="J181" s="156"/>
      <c r="K181" s="156"/>
      <c r="L181" s="156"/>
      <c r="M181" s="156"/>
      <c r="N181" s="156"/>
      <c r="O181" s="157"/>
      <c r="X181" s="158"/>
    </row>
    <row r="182" spans="5:24" x14ac:dyDescent="0.25">
      <c r="E182" s="156"/>
      <c r="F182" s="156"/>
      <c r="G182" s="163"/>
      <c r="H182" s="156"/>
      <c r="I182" s="156"/>
      <c r="J182" s="156"/>
      <c r="K182" s="156"/>
      <c r="L182" s="156"/>
      <c r="M182" s="156"/>
      <c r="N182" s="156"/>
      <c r="O182" s="157"/>
      <c r="X182" s="158"/>
    </row>
    <row r="183" spans="5:24" x14ac:dyDescent="0.25"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</row>
    <row r="184" spans="5:24" x14ac:dyDescent="0.25"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499984740745262"/>
  </sheetPr>
  <dimension ref="A1:Q18"/>
  <sheetViews>
    <sheetView zoomScale="85" zoomScaleNormal="85" workbookViewId="0">
      <pane ySplit="5" topLeftCell="A6" activePane="bottomLeft" state="frozen"/>
      <selection activeCell="K4" sqref="K4"/>
      <selection pane="bottomLeft" activeCell="E14" sqref="E14"/>
    </sheetView>
  </sheetViews>
  <sheetFormatPr defaultRowHeight="15" x14ac:dyDescent="0.25"/>
  <cols>
    <col min="1" max="1" width="26.7109375" style="145" customWidth="1"/>
    <col min="2" max="2" width="31.85546875" style="145" customWidth="1"/>
    <col min="3" max="3" width="10.5703125" style="145" customWidth="1"/>
    <col min="4" max="4" width="57.28515625" style="145" customWidth="1"/>
    <col min="5" max="8" width="9.140625" style="145"/>
    <col min="9" max="9" width="3.140625" style="145" customWidth="1"/>
    <col min="10" max="10" width="13.7109375" style="145" customWidth="1"/>
    <col min="11" max="11" width="28.85546875" style="145" bestFit="1" customWidth="1"/>
    <col min="12" max="12" width="73.42578125" style="145" customWidth="1"/>
    <col min="13" max="17" width="9.85546875" style="145" customWidth="1"/>
    <col min="18" max="16384" width="9.140625" style="145"/>
  </cols>
  <sheetData>
    <row r="1" spans="1:17" ht="23.25" x14ac:dyDescent="0.35">
      <c r="A1" s="143" t="s">
        <v>831</v>
      </c>
      <c r="B1" s="144"/>
      <c r="C1" s="144"/>
      <c r="D1" s="144"/>
    </row>
    <row r="3" spans="1:17" x14ac:dyDescent="0.25">
      <c r="D3" s="146" t="s">
        <v>15</v>
      </c>
      <c r="J3" s="146" t="s">
        <v>11</v>
      </c>
    </row>
    <row r="4" spans="1:17" x14ac:dyDescent="0.25">
      <c r="A4" s="147" t="s">
        <v>17</v>
      </c>
      <c r="B4" s="147" t="s">
        <v>19</v>
      </c>
      <c r="C4" s="147" t="s">
        <v>355</v>
      </c>
      <c r="D4" s="147" t="s">
        <v>20</v>
      </c>
      <c r="E4" s="148" t="s">
        <v>280</v>
      </c>
      <c r="F4" s="148" t="s">
        <v>216</v>
      </c>
      <c r="G4" s="148" t="s">
        <v>292</v>
      </c>
      <c r="H4" s="148" t="s">
        <v>66</v>
      </c>
      <c r="J4" s="147" t="s">
        <v>16</v>
      </c>
      <c r="K4" s="147" t="s">
        <v>17</v>
      </c>
      <c r="L4" s="147" t="s">
        <v>18</v>
      </c>
      <c r="M4" s="147" t="s">
        <v>12</v>
      </c>
      <c r="N4" s="147" t="s">
        <v>13</v>
      </c>
      <c r="O4" s="147" t="s">
        <v>14</v>
      </c>
      <c r="P4" s="147" t="s">
        <v>516</v>
      </c>
      <c r="Q4" s="147" t="s">
        <v>305</v>
      </c>
    </row>
    <row r="5" spans="1:17" ht="26.25" thickBot="1" x14ac:dyDescent="0.3">
      <c r="A5" s="149" t="s">
        <v>517</v>
      </c>
      <c r="B5" s="149"/>
      <c r="C5" s="149"/>
      <c r="D5" s="149"/>
      <c r="E5" s="150"/>
      <c r="F5" s="150" t="s">
        <v>518</v>
      </c>
      <c r="G5" s="150"/>
      <c r="H5" s="150"/>
      <c r="I5" s="152"/>
      <c r="J5" s="153" t="s">
        <v>520</v>
      </c>
      <c r="K5" s="153" t="s">
        <v>521</v>
      </c>
      <c r="L5" s="153" t="s">
        <v>522</v>
      </c>
      <c r="M5" s="153" t="s">
        <v>523</v>
      </c>
      <c r="N5" s="153" t="s">
        <v>524</v>
      </c>
      <c r="O5" s="153"/>
      <c r="P5" s="153" t="s">
        <v>525</v>
      </c>
      <c r="Q5" s="153"/>
    </row>
    <row r="6" spans="1:17" x14ac:dyDescent="0.25">
      <c r="A6" s="298" t="s">
        <v>833</v>
      </c>
      <c r="B6" s="298" t="s">
        <v>179</v>
      </c>
      <c r="C6" s="145" t="s">
        <v>832</v>
      </c>
      <c r="D6" s="145" t="s">
        <v>571</v>
      </c>
      <c r="E6" s="156">
        <v>2011</v>
      </c>
      <c r="F6" s="157">
        <v>20</v>
      </c>
      <c r="G6" s="157">
        <v>1</v>
      </c>
      <c r="H6" s="156">
        <v>0.95</v>
      </c>
      <c r="J6" s="145" t="s">
        <v>439</v>
      </c>
      <c r="K6" s="145" t="s">
        <v>833</v>
      </c>
      <c r="L6" s="298" t="s">
        <v>837</v>
      </c>
      <c r="M6" s="145" t="s">
        <v>31</v>
      </c>
      <c r="N6" s="145" t="s">
        <v>440</v>
      </c>
      <c r="Q6" s="158"/>
    </row>
    <row r="7" spans="1:17" x14ac:dyDescent="0.25">
      <c r="A7" s="145" t="s">
        <v>834</v>
      </c>
      <c r="B7" s="298" t="s">
        <v>179</v>
      </c>
      <c r="C7" s="145" t="s">
        <v>832</v>
      </c>
      <c r="D7" s="145" t="s">
        <v>825</v>
      </c>
      <c r="E7" s="156">
        <v>2011</v>
      </c>
      <c r="F7" s="157">
        <v>20</v>
      </c>
      <c r="G7" s="157">
        <v>1</v>
      </c>
      <c r="H7" s="156">
        <v>0.95</v>
      </c>
      <c r="J7" s="145" t="s">
        <v>439</v>
      </c>
      <c r="K7" s="145" t="s">
        <v>834</v>
      </c>
      <c r="L7" s="145" t="s">
        <v>838</v>
      </c>
      <c r="M7" s="145" t="s">
        <v>31</v>
      </c>
      <c r="N7" s="145" t="s">
        <v>440</v>
      </c>
      <c r="Q7" s="158"/>
    </row>
    <row r="8" spans="1:17" x14ac:dyDescent="0.25">
      <c r="A8" s="145" t="s">
        <v>835</v>
      </c>
      <c r="B8" s="298" t="s">
        <v>179</v>
      </c>
      <c r="C8" s="145" t="s">
        <v>832</v>
      </c>
      <c r="D8" s="145" t="s">
        <v>704</v>
      </c>
      <c r="E8" s="156">
        <v>2011</v>
      </c>
      <c r="F8" s="157">
        <v>20</v>
      </c>
      <c r="G8" s="157">
        <v>1</v>
      </c>
      <c r="H8" s="156">
        <v>0.95</v>
      </c>
      <c r="J8" s="145" t="s">
        <v>439</v>
      </c>
      <c r="K8" s="145" t="s">
        <v>835</v>
      </c>
      <c r="L8" s="145" t="s">
        <v>839</v>
      </c>
      <c r="M8" s="145" t="s">
        <v>31</v>
      </c>
      <c r="N8" s="145" t="s">
        <v>440</v>
      </c>
      <c r="Q8" s="158"/>
    </row>
    <row r="9" spans="1:17" x14ac:dyDescent="0.25">
      <c r="A9" s="145" t="s">
        <v>836</v>
      </c>
      <c r="B9" s="298" t="s">
        <v>179</v>
      </c>
      <c r="C9" s="145" t="s">
        <v>832</v>
      </c>
      <c r="D9" s="145" t="s">
        <v>736</v>
      </c>
      <c r="E9" s="156">
        <v>2011</v>
      </c>
      <c r="F9" s="157">
        <v>20</v>
      </c>
      <c r="G9" s="157">
        <v>1</v>
      </c>
      <c r="H9" s="156">
        <v>0.95</v>
      </c>
      <c r="J9" s="145" t="s">
        <v>439</v>
      </c>
      <c r="K9" s="145" t="s">
        <v>836</v>
      </c>
      <c r="L9" s="145" t="s">
        <v>840</v>
      </c>
      <c r="M9" s="145" t="s">
        <v>31</v>
      </c>
      <c r="N9" s="145" t="s">
        <v>440</v>
      </c>
      <c r="Q9" s="158"/>
    </row>
    <row r="10" spans="1:17" x14ac:dyDescent="0.25">
      <c r="E10" s="156"/>
      <c r="F10" s="156"/>
      <c r="G10" s="163"/>
      <c r="H10" s="156"/>
      <c r="Q10" s="158"/>
    </row>
    <row r="11" spans="1:17" x14ac:dyDescent="0.25">
      <c r="E11" s="156"/>
      <c r="F11" s="156"/>
      <c r="G11" s="163"/>
      <c r="H11" s="156"/>
      <c r="Q11" s="158"/>
    </row>
    <row r="12" spans="1:17" x14ac:dyDescent="0.25">
      <c r="E12" s="156"/>
      <c r="F12" s="156"/>
      <c r="G12" s="163"/>
      <c r="H12" s="156"/>
      <c r="Q12" s="158"/>
    </row>
    <row r="13" spans="1:17" x14ac:dyDescent="0.25">
      <c r="E13" s="156"/>
      <c r="F13" s="156"/>
      <c r="G13" s="163"/>
      <c r="H13" s="156"/>
      <c r="Q13" s="158"/>
    </row>
    <row r="14" spans="1:17" x14ac:dyDescent="0.25">
      <c r="E14" s="156"/>
      <c r="F14" s="156"/>
      <c r="G14" s="163"/>
      <c r="H14" s="156"/>
      <c r="Q14" s="158"/>
    </row>
    <row r="15" spans="1:17" x14ac:dyDescent="0.25">
      <c r="E15" s="156"/>
      <c r="F15" s="156"/>
      <c r="G15" s="163"/>
      <c r="H15" s="156"/>
      <c r="Q15" s="158"/>
    </row>
    <row r="16" spans="1:17" x14ac:dyDescent="0.25">
      <c r="E16" s="156"/>
      <c r="F16" s="156"/>
      <c r="G16" s="163"/>
      <c r="H16" s="156"/>
      <c r="Q16" s="158"/>
    </row>
    <row r="17" spans="5:8" x14ac:dyDescent="0.25">
      <c r="E17" s="156"/>
      <c r="F17" s="156"/>
      <c r="G17" s="156"/>
      <c r="H17" s="156"/>
    </row>
    <row r="18" spans="5:8" x14ac:dyDescent="0.25">
      <c r="E18" s="156"/>
      <c r="F18" s="156"/>
      <c r="G18" s="156"/>
      <c r="H18" s="156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201"/>
  <sheetViews>
    <sheetView zoomScale="85" zoomScaleNormal="85" workbookViewId="0">
      <selection activeCell="D294" sqref="D294"/>
    </sheetView>
  </sheetViews>
  <sheetFormatPr defaultRowHeight="12.75" x14ac:dyDescent="0.2"/>
  <cols>
    <col min="1" max="1" width="8.85546875" style="92" customWidth="1"/>
    <col min="2" max="2" width="14.42578125" bestFit="1" customWidth="1"/>
    <col min="3" max="3" width="51.5703125" bestFit="1" customWidth="1"/>
    <col min="4" max="4" width="90.28515625" bestFit="1" customWidth="1"/>
    <col min="5" max="5" width="6.7109375" bestFit="1" customWidth="1"/>
    <col min="6" max="6" width="8" bestFit="1" customWidth="1"/>
  </cols>
  <sheetData>
    <row r="1" spans="1:10" x14ac:dyDescent="0.2">
      <c r="A1" s="96"/>
      <c r="B1" s="60" t="s">
        <v>51</v>
      </c>
    </row>
    <row r="2" spans="1:10" x14ac:dyDescent="0.2">
      <c r="A2" s="96"/>
      <c r="B2" s="60"/>
    </row>
    <row r="3" spans="1:10" x14ac:dyDescent="0.2">
      <c r="A3" s="97"/>
      <c r="B3" s="62" t="s">
        <v>11</v>
      </c>
      <c r="C3" s="61"/>
      <c r="D3" s="61"/>
      <c r="E3" s="61"/>
      <c r="F3" s="61"/>
      <c r="G3" s="61"/>
      <c r="H3" s="61"/>
    </row>
    <row r="4" spans="1:10" x14ac:dyDescent="0.2">
      <c r="A4" s="97"/>
      <c r="B4" s="63" t="s">
        <v>16</v>
      </c>
      <c r="C4" s="63" t="s">
        <v>17</v>
      </c>
      <c r="D4" s="63" t="s">
        <v>18</v>
      </c>
      <c r="E4" s="63" t="s">
        <v>13</v>
      </c>
      <c r="F4" s="63" t="s">
        <v>12</v>
      </c>
      <c r="G4" s="63" t="s">
        <v>14</v>
      </c>
      <c r="H4" s="63" t="s">
        <v>305</v>
      </c>
    </row>
    <row r="5" spans="1:10" ht="14.25" x14ac:dyDescent="0.2">
      <c r="A5" s="97"/>
      <c r="B5" s="99" t="str">
        <f>"\I:"&amp;"COMHO"</f>
        <v>\I:COMHO</v>
      </c>
      <c r="C5" s="99" t="s">
        <v>473</v>
      </c>
      <c r="D5" s="99"/>
      <c r="E5" s="99"/>
      <c r="F5" s="99"/>
      <c r="G5" s="99"/>
      <c r="H5" s="99"/>
      <c r="J5" s="30"/>
    </row>
    <row r="6" spans="1:10" x14ac:dyDescent="0.2">
      <c r="A6" s="97"/>
      <c r="B6" s="61" t="s">
        <v>439</v>
      </c>
      <c r="C6" s="61" t="str">
        <f>COM_HO!B6</f>
        <v>C_ES-SH-HO_ELC01</v>
      </c>
      <c r="D6" s="61" t="str">
        <f>'Generalized Data'!$B$109&amp;" - "&amp;$C$5</f>
        <v>Electric radiators  - Hospital</v>
      </c>
      <c r="E6" s="61" t="s">
        <v>30</v>
      </c>
      <c r="F6" s="61" t="s">
        <v>31</v>
      </c>
      <c r="G6" s="61"/>
      <c r="H6" s="64"/>
      <c r="J6" s="30"/>
    </row>
    <row r="7" spans="1:10" x14ac:dyDescent="0.2">
      <c r="A7" s="97"/>
      <c r="B7" s="61" t="s">
        <v>439</v>
      </c>
      <c r="C7" s="61" t="str">
        <f>COM_HO!B7</f>
        <v>C_ES-SH-HO_ELC02</v>
      </c>
      <c r="D7" s="137" t="str">
        <f>'Generalized Data'!$B$110&amp;" - "&amp;$C$5</f>
        <v>Electric boiler - Hospital</v>
      </c>
      <c r="E7" s="61" t="s">
        <v>30</v>
      </c>
      <c r="F7" s="61" t="s">
        <v>31</v>
      </c>
      <c r="G7" s="61"/>
      <c r="H7" s="64"/>
      <c r="J7" s="30"/>
    </row>
    <row r="8" spans="1:10" x14ac:dyDescent="0.2">
      <c r="A8" s="97"/>
      <c r="B8" s="61" t="s">
        <v>439</v>
      </c>
      <c r="C8" s="61" t="str">
        <f>COM_HO!B8</f>
        <v>C_ES-SH-HO_ELC03</v>
      </c>
      <c r="D8" s="137" t="str">
        <f>'Generalized Data'!$B$111&amp;" - "&amp;$C$5</f>
        <v>Air heat pump Electric - Hospital</v>
      </c>
      <c r="E8" s="61" t="s">
        <v>30</v>
      </c>
      <c r="F8" s="61" t="s">
        <v>31</v>
      </c>
      <c r="G8" s="61"/>
      <c r="H8" s="64" t="s">
        <v>384</v>
      </c>
      <c r="J8" s="30"/>
    </row>
    <row r="9" spans="1:10" x14ac:dyDescent="0.2">
      <c r="A9" s="97"/>
      <c r="B9" s="61" t="s">
        <v>439</v>
      </c>
      <c r="C9" s="61" t="str">
        <f>COM_HO!B10</f>
        <v>C_ES-SH-HO_ELC04</v>
      </c>
      <c r="D9" s="137" t="str">
        <f>'Generalized Data'!$B$112&amp;" - "&amp;$C$5</f>
        <v>Air heat pump Electric HeatCool - Hospital</v>
      </c>
      <c r="E9" s="61" t="s">
        <v>30</v>
      </c>
      <c r="F9" s="61" t="s">
        <v>31</v>
      </c>
      <c r="G9" s="61"/>
      <c r="H9" s="64" t="s">
        <v>384</v>
      </c>
      <c r="J9" s="30"/>
    </row>
    <row r="10" spans="1:10" x14ac:dyDescent="0.2">
      <c r="A10" s="97"/>
      <c r="B10" s="61" t="s">
        <v>439</v>
      </c>
      <c r="C10" s="61" t="str">
        <f>COM_HO!B13</f>
        <v>C_ES-SH-HO_ELC05</v>
      </c>
      <c r="D10" s="137" t="str">
        <f>'Generalized Data'!$B$113&amp;" - "&amp;$C$5</f>
        <v>Adv Air heat pump Electric HeatCool - Hospital</v>
      </c>
      <c r="E10" s="61" t="s">
        <v>30</v>
      </c>
      <c r="F10" s="61" t="s">
        <v>31</v>
      </c>
      <c r="G10" s="61"/>
      <c r="H10" s="64" t="s">
        <v>384</v>
      </c>
      <c r="J10" s="30"/>
    </row>
    <row r="11" spans="1:10" x14ac:dyDescent="0.2">
      <c r="A11" s="97"/>
      <c r="B11" s="61" t="s">
        <v>439</v>
      </c>
      <c r="C11" s="61" t="str">
        <f>COM_HO!B16</f>
        <v>C_ES-SH-HO_ELC06</v>
      </c>
      <c r="D11" s="137" t="str">
        <f>'Generalized Data'!$B$114&amp;" - "&amp;$C$5</f>
        <v>Ground heat pump Electric - Hospital</v>
      </c>
      <c r="E11" s="61" t="s">
        <v>30</v>
      </c>
      <c r="F11" s="61" t="s">
        <v>31</v>
      </c>
      <c r="G11" s="61"/>
      <c r="H11" s="64" t="s">
        <v>384</v>
      </c>
    </row>
    <row r="12" spans="1:10" x14ac:dyDescent="0.2">
      <c r="A12" s="97"/>
      <c r="B12" s="61" t="s">
        <v>439</v>
      </c>
      <c r="C12" s="61" t="str">
        <f>COM_HO!B19</f>
        <v>C_ES-SH-HO_ELC07</v>
      </c>
      <c r="D12" s="137" t="str">
        <f>'Generalized Data'!$B$115&amp;" - "&amp;$C$5</f>
        <v>Ground heat pump Electric HeatCool - Hospital</v>
      </c>
      <c r="E12" s="61" t="s">
        <v>30</v>
      </c>
      <c r="F12" s="61" t="s">
        <v>31</v>
      </c>
      <c r="G12" s="61"/>
      <c r="H12" s="64" t="s">
        <v>384</v>
      </c>
    </row>
    <row r="13" spans="1:10" x14ac:dyDescent="0.2">
      <c r="A13" s="97"/>
      <c r="B13" s="61" t="s">
        <v>439</v>
      </c>
      <c r="C13" s="61" t="str">
        <f>COM_HO!B22</f>
        <v>C_ES-SH-HO_ELC08</v>
      </c>
      <c r="D13" s="137" t="str">
        <f>'Generalized Data'!$B$116&amp;" - "&amp;$C$5</f>
        <v>Groundwater heat pump Electric Heat Cool - Hospital</v>
      </c>
      <c r="E13" s="61" t="s">
        <v>30</v>
      </c>
      <c r="F13" s="61" t="s">
        <v>31</v>
      </c>
      <c r="G13" s="61"/>
      <c r="H13" s="64" t="s">
        <v>384</v>
      </c>
    </row>
    <row r="14" spans="1:10" x14ac:dyDescent="0.2">
      <c r="A14" s="97"/>
      <c r="B14" s="61" t="s">
        <v>439</v>
      </c>
      <c r="C14" s="61" t="str">
        <f>COM_HO!B25</f>
        <v>C_ES-SH-HO_GAS01</v>
      </c>
      <c r="D14" s="137" t="str">
        <f>'Generalized Data'!$B$117&amp;" - "&amp;$C$5</f>
        <v>Natural gas stove  - Hospital</v>
      </c>
      <c r="E14" s="61" t="s">
        <v>30</v>
      </c>
      <c r="F14" s="61" t="s">
        <v>31</v>
      </c>
      <c r="G14" s="61"/>
      <c r="H14" s="64"/>
    </row>
    <row r="15" spans="1:10" x14ac:dyDescent="0.2">
      <c r="A15" s="97"/>
      <c r="B15" s="61" t="s">
        <v>439</v>
      </c>
      <c r="C15" s="61" t="str">
        <f>COM_HO!B26</f>
        <v>C_ES-SH-HO_GAS02</v>
      </c>
      <c r="D15" s="137" t="str">
        <f>'Generalized Data'!$B$118&amp;" - "&amp;$C$5</f>
        <v>Natural gas boiler  - Hospital</v>
      </c>
      <c r="E15" s="61" t="s">
        <v>30</v>
      </c>
      <c r="F15" s="61" t="s">
        <v>31</v>
      </c>
      <c r="G15" s="61"/>
      <c r="H15" s="64"/>
    </row>
    <row r="16" spans="1:10" x14ac:dyDescent="0.2">
      <c r="A16" s="97"/>
      <c r="B16" s="61" t="s">
        <v>439</v>
      </c>
      <c r="C16" s="61" t="str">
        <f>COM_HO!B27</f>
        <v>C_ES-SH-HO_GAS03</v>
      </c>
      <c r="D16" s="137" t="str">
        <f>'Generalized Data'!$B$119&amp;" - "&amp;$C$5</f>
        <v>Natural gas boiler.HeatHotwater  - Hospital</v>
      </c>
      <c r="E16" s="61" t="s">
        <v>30</v>
      </c>
      <c r="F16" s="61" t="s">
        <v>31</v>
      </c>
      <c r="G16" s="61"/>
      <c r="H16" s="64"/>
    </row>
    <row r="17" spans="1:8" x14ac:dyDescent="0.2">
      <c r="A17" s="97"/>
      <c r="B17" s="61" t="s">
        <v>439</v>
      </c>
      <c r="C17" s="61" t="str">
        <f>COM_HO!B29</f>
        <v>C_ES-SH-HO_GAS04</v>
      </c>
      <c r="D17" s="137" t="str">
        <f>'Generalized Data'!$B$120&amp;" - "&amp;$C$5</f>
        <v>Natural gas boiler condensing  - Hospital</v>
      </c>
      <c r="E17" s="61" t="s">
        <v>30</v>
      </c>
      <c r="F17" s="61" t="s">
        <v>31</v>
      </c>
      <c r="G17" s="61"/>
      <c r="H17" s="64"/>
    </row>
    <row r="18" spans="1:8" ht="14.25" customHeight="1" x14ac:dyDescent="0.2">
      <c r="A18" s="97"/>
      <c r="B18" s="61" t="s">
        <v>439</v>
      </c>
      <c r="C18" s="61" t="str">
        <f>COM_HO!B30</f>
        <v>C_ES-SH-HO_GAS05</v>
      </c>
      <c r="D18" s="137" t="str">
        <f>'Generalized Data'!$B$121&amp;" - "&amp;$C$5</f>
        <v>Natural gas boiler condensing.HeatHotwater  - Hospital</v>
      </c>
      <c r="E18" s="61" t="s">
        <v>30</v>
      </c>
      <c r="F18" s="61" t="s">
        <v>31</v>
      </c>
      <c r="G18" s="61"/>
      <c r="H18" s="64"/>
    </row>
    <row r="19" spans="1:8" x14ac:dyDescent="0.2">
      <c r="A19" s="97"/>
      <c r="B19" s="61" t="s">
        <v>439</v>
      </c>
      <c r="C19" s="61" t="str">
        <f>COM_HO!B32</f>
        <v>C_ES-SH-HO_GAS06</v>
      </c>
      <c r="D19" s="137" t="str">
        <f>'Generalized Data'!$B$122&amp;" - "&amp;$C$5</f>
        <v>Air heat pump Natural gas HeatCool - Hospital</v>
      </c>
      <c r="E19" s="61" t="s">
        <v>30</v>
      </c>
      <c r="F19" s="61" t="s">
        <v>31</v>
      </c>
      <c r="G19" s="61"/>
      <c r="H19" s="64" t="s">
        <v>384</v>
      </c>
    </row>
    <row r="20" spans="1:8" x14ac:dyDescent="0.2">
      <c r="A20" s="97"/>
      <c r="B20" s="61" t="s">
        <v>439</v>
      </c>
      <c r="C20" s="61" t="str">
        <f>COM_HO!B34</f>
        <v>C_ES-SH-HO_GAS07</v>
      </c>
      <c r="D20" s="137" t="str">
        <f>'Generalized Data'!$B$123&amp;" - "&amp;$C$5</f>
        <v>Groundwater heat pump with natural gas.HeatCool - Hospital</v>
      </c>
      <c r="E20" s="61" t="s">
        <v>30</v>
      </c>
      <c r="F20" s="61" t="s">
        <v>31</v>
      </c>
      <c r="G20" s="61"/>
      <c r="H20" s="64" t="s">
        <v>384</v>
      </c>
    </row>
    <row r="21" spans="1:8" x14ac:dyDescent="0.2">
      <c r="A21" s="97"/>
      <c r="B21" s="61" t="s">
        <v>439</v>
      </c>
      <c r="C21" s="61" t="str">
        <f>COM_HO!B36</f>
        <v>C_ES-SH-HO_LPG01</v>
      </c>
      <c r="D21" s="137" t="str">
        <f>'Generalized Data'!$B$124&amp;" - "&amp;$C$5</f>
        <v>LPG boiler  - Hospital</v>
      </c>
      <c r="E21" s="61" t="s">
        <v>30</v>
      </c>
      <c r="F21" s="61" t="s">
        <v>31</v>
      </c>
      <c r="G21" s="61"/>
      <c r="H21" s="64"/>
    </row>
    <row r="22" spans="1:8" x14ac:dyDescent="0.2">
      <c r="A22" s="97"/>
      <c r="B22" s="61" t="s">
        <v>439</v>
      </c>
      <c r="C22" s="61" t="str">
        <f>COM_HO!B37</f>
        <v>C_ES-SH-HO_LPG02</v>
      </c>
      <c r="D22" s="137" t="str">
        <f>'Generalized Data'!$B$125&amp;" - "&amp;$C$5</f>
        <v>LPG boiler.HeatHotwater  - Hospital</v>
      </c>
      <c r="E22" s="61" t="s">
        <v>30</v>
      </c>
      <c r="F22" s="61" t="s">
        <v>31</v>
      </c>
      <c r="G22" s="61"/>
      <c r="H22" s="64"/>
    </row>
    <row r="23" spans="1:8" x14ac:dyDescent="0.2">
      <c r="A23" s="97"/>
      <c r="B23" s="61" t="s">
        <v>439</v>
      </c>
      <c r="C23" s="61" t="str">
        <f>COM_HO!B39</f>
        <v>C_ES-SH-HO_LPG03</v>
      </c>
      <c r="D23" s="137" t="str">
        <f>'Generalized Data'!$B$126&amp;" - "&amp;$C$5</f>
        <v>Air heat pump with LPG boiler.HeatCool - Hospital</v>
      </c>
      <c r="E23" s="61" t="s">
        <v>30</v>
      </c>
      <c r="F23" s="61" t="s">
        <v>31</v>
      </c>
      <c r="G23" s="61"/>
      <c r="H23" s="64" t="s">
        <v>384</v>
      </c>
    </row>
    <row r="24" spans="1:8" x14ac:dyDescent="0.2">
      <c r="A24" s="97"/>
      <c r="B24" s="61" t="s">
        <v>439</v>
      </c>
      <c r="C24" s="61" t="str">
        <f>COM_HO!B41</f>
        <v>C_ES-SH-HO_HET01</v>
      </c>
      <c r="D24" s="137" t="str">
        <f>'Generalized Data'!$B$127&amp;" - "&amp;$C$5</f>
        <v>District heat exchanger.HeatHotwater  - Hospital</v>
      </c>
      <c r="E24" s="61" t="s">
        <v>30</v>
      </c>
      <c r="F24" s="61" t="s">
        <v>31</v>
      </c>
      <c r="G24" s="61"/>
      <c r="H24" s="64"/>
    </row>
    <row r="25" spans="1:8" x14ac:dyDescent="0.2">
      <c r="A25" s="97"/>
      <c r="B25" s="61" t="s">
        <v>439</v>
      </c>
      <c r="C25" s="61" t="str">
        <f>COM_HO!B43</f>
        <v>C_ES-SH-HO_OIL01</v>
      </c>
      <c r="D25" s="137" t="str">
        <f>'Generalized Data'!$B$128&amp;" - "&amp;$C$5</f>
        <v>Oil boiler  - Hospital</v>
      </c>
      <c r="E25" s="61" t="s">
        <v>30</v>
      </c>
      <c r="F25" s="61" t="s">
        <v>31</v>
      </c>
      <c r="G25" s="61"/>
      <c r="H25" s="64"/>
    </row>
    <row r="26" spans="1:8" x14ac:dyDescent="0.2">
      <c r="A26" s="97"/>
      <c r="B26" s="61" t="s">
        <v>439</v>
      </c>
      <c r="C26" s="61" t="str">
        <f>COM_HO!B44</f>
        <v>C_ES-SH-HO_OIL02</v>
      </c>
      <c r="D26" s="137" t="str">
        <f>'Generalized Data'!$B$129&amp;" - "&amp;$C$5</f>
        <v>Oil boiler.HeatHotwater  - Hospital</v>
      </c>
      <c r="E26" s="61" t="s">
        <v>30</v>
      </c>
      <c r="F26" s="61" t="s">
        <v>31</v>
      </c>
      <c r="G26" s="61"/>
      <c r="H26" s="64"/>
    </row>
    <row r="27" spans="1:8" x14ac:dyDescent="0.2">
      <c r="A27" s="97"/>
      <c r="B27" s="61" t="s">
        <v>439</v>
      </c>
      <c r="C27" s="61" t="str">
        <f>COM_HO!B46</f>
        <v>C_ES-SH-HO_OIL03</v>
      </c>
      <c r="D27" s="137" t="str">
        <f>'Generalized Data'!$B$130&amp;" - "&amp;$C$5</f>
        <v>Oil boiler condensing.HeatHotwater - Hospital</v>
      </c>
      <c r="E27" s="61" t="s">
        <v>30</v>
      </c>
      <c r="F27" s="61" t="s">
        <v>31</v>
      </c>
      <c r="G27" s="61"/>
      <c r="H27" s="64"/>
    </row>
    <row r="28" spans="1:8" x14ac:dyDescent="0.2">
      <c r="A28" s="97"/>
      <c r="B28" s="61" t="s">
        <v>439</v>
      </c>
      <c r="C28" s="61" t="str">
        <f>COM_HO!B48</f>
        <v>C_ES-SH-HO_ELC09</v>
      </c>
      <c r="D28" s="137" t="str">
        <f>'Generalized Data'!$B$131&amp;" - "&amp;$C$5</f>
        <v>Solar collector with electric backup.HeatHotwater  - Hospital</v>
      </c>
      <c r="E28" s="61" t="s">
        <v>30</v>
      </c>
      <c r="F28" s="61" t="s">
        <v>31</v>
      </c>
      <c r="G28" s="61"/>
      <c r="H28" s="64"/>
    </row>
    <row r="29" spans="1:8" x14ac:dyDescent="0.2">
      <c r="A29" s="97"/>
      <c r="B29" s="61" t="s">
        <v>439</v>
      </c>
      <c r="C29" s="61" t="str">
        <f>COM_HO!B50</f>
        <v>C_ES-SH-HO_OIL04</v>
      </c>
      <c r="D29" s="137" t="str">
        <f>'Generalized Data'!$B$132&amp;" - "&amp;$C$5</f>
        <v>Solar collector with diesel backup.HeatHotwater  - Hospital</v>
      </c>
      <c r="E29" s="61" t="s">
        <v>30</v>
      </c>
      <c r="F29" s="61" t="s">
        <v>31</v>
      </c>
      <c r="G29" s="61"/>
      <c r="H29" s="64"/>
    </row>
    <row r="30" spans="1:8" x14ac:dyDescent="0.2">
      <c r="A30" s="97"/>
      <c r="B30" s="61" t="s">
        <v>439</v>
      </c>
      <c r="C30" s="61" t="str">
        <f>COM_HO!B52</f>
        <v>C_ES-SH-HO_GAS08</v>
      </c>
      <c r="D30" s="137" t="str">
        <f>'Generalized Data'!$B$133&amp;" - "&amp;$C$5</f>
        <v>Solar collector with gas backup.HeatHotwater  - Hospital</v>
      </c>
      <c r="E30" s="61" t="s">
        <v>30</v>
      </c>
      <c r="F30" s="61" t="s">
        <v>31</v>
      </c>
      <c r="G30" s="61"/>
      <c r="H30" s="64"/>
    </row>
    <row r="31" spans="1:8" x14ac:dyDescent="0.2">
      <c r="A31" s="97"/>
      <c r="B31" s="136" t="s">
        <v>439</v>
      </c>
      <c r="C31" s="136" t="str">
        <f>COM_HO!B54</f>
        <v>C_ES-SH-HO_BIO01</v>
      </c>
      <c r="D31" s="136" t="str">
        <f>'Generalized Data'!$B$134&amp;" - "&amp;$C$5</f>
        <v>Wood-pellets boiler.HeatHotwater  - Hospital</v>
      </c>
      <c r="E31" s="136" t="s">
        <v>30</v>
      </c>
      <c r="F31" s="136" t="s">
        <v>31</v>
      </c>
      <c r="G31" s="136"/>
      <c r="H31" s="104"/>
    </row>
    <row r="32" spans="1:8" x14ac:dyDescent="0.2">
      <c r="A32" s="97"/>
      <c r="B32" s="61" t="s">
        <v>439</v>
      </c>
      <c r="C32" s="61" t="str">
        <f>COM_HO!B60</f>
        <v>C_ES-WH-HO_BIO01</v>
      </c>
      <c r="D32" s="61" t="str">
        <f>'Generalized Data'!$B$137&amp;" - "&amp;$C$5</f>
        <v>Wood pellets boiler water heater - Hospital</v>
      </c>
      <c r="E32" s="61" t="s">
        <v>30</v>
      </c>
      <c r="F32" s="61" t="s">
        <v>31</v>
      </c>
      <c r="G32" s="61"/>
      <c r="H32" s="61"/>
    </row>
    <row r="33" spans="1:8" x14ac:dyDescent="0.2">
      <c r="A33" s="97"/>
      <c r="B33" s="61" t="s">
        <v>439</v>
      </c>
      <c r="C33" s="61" t="str">
        <f>COM_HO!B61</f>
        <v>C_ES-WH-HO_ELC01</v>
      </c>
      <c r="D33" s="137" t="str">
        <f>'Generalized Data'!$B$138&amp;" - "&amp;$C$5</f>
        <v>Electric boiler water heater resistance - Hospital</v>
      </c>
      <c r="E33" s="61" t="s">
        <v>30</v>
      </c>
      <c r="F33" s="61" t="s">
        <v>31</v>
      </c>
      <c r="G33" s="61"/>
      <c r="H33" s="61"/>
    </row>
    <row r="34" spans="1:8" x14ac:dyDescent="0.2">
      <c r="A34" s="97"/>
      <c r="B34" s="61" t="s">
        <v>439</v>
      </c>
      <c r="C34" s="61" t="str">
        <f>COM_HO!B62</f>
        <v>C_ES-WH-HO_ELC02</v>
      </c>
      <c r="D34" s="137" t="str">
        <f>'Generalized Data'!$B$139&amp;" - "&amp;$C$5</f>
        <v>Electric heat pump water heater - Hospital</v>
      </c>
      <c r="E34" s="61" t="s">
        <v>30</v>
      </c>
      <c r="F34" s="61" t="s">
        <v>31</v>
      </c>
      <c r="G34" s="61"/>
      <c r="H34" s="61"/>
    </row>
    <row r="35" spans="1:8" x14ac:dyDescent="0.2">
      <c r="A35" s="97"/>
      <c r="B35" s="61" t="s">
        <v>439</v>
      </c>
      <c r="C35" s="61" t="str">
        <f>COM_HO!B64</f>
        <v>C_ES-WH-HO_GAS01</v>
      </c>
      <c r="D35" s="137" t="str">
        <f>'Generalized Data'!$B$140&amp;" - "&amp;$C$5</f>
        <v>Natural gas boiler water heater - Hospital</v>
      </c>
      <c r="E35" s="61" t="s">
        <v>30</v>
      </c>
      <c r="F35" s="61" t="s">
        <v>31</v>
      </c>
      <c r="G35" s="61"/>
      <c r="H35" s="61"/>
    </row>
    <row r="36" spans="1:8" x14ac:dyDescent="0.2">
      <c r="A36" s="97"/>
      <c r="B36" s="61" t="s">
        <v>439</v>
      </c>
      <c r="C36" s="61" t="str">
        <f>COM_HO!B65</f>
        <v>C_ES-WH-HO_GEO01</v>
      </c>
      <c r="D36" s="137" t="str">
        <f>'Generalized Data'!$B$141&amp;" - "&amp;$C$5</f>
        <v>Geo Heat Exchanger water heater - Hospital</v>
      </c>
      <c r="E36" s="61" t="s">
        <v>30</v>
      </c>
      <c r="F36" s="61" t="s">
        <v>31</v>
      </c>
      <c r="G36" s="61"/>
      <c r="H36" s="61"/>
    </row>
    <row r="37" spans="1:8" x14ac:dyDescent="0.2">
      <c r="A37" s="97"/>
      <c r="B37" s="61" t="s">
        <v>439</v>
      </c>
      <c r="C37" s="61" t="str">
        <f>COM_HO!B66</f>
        <v>C_ES-WH-HO_LPG01</v>
      </c>
      <c r="D37" s="137" t="str">
        <f>'Generalized Data'!$B$142&amp;" - "&amp;$C$5</f>
        <v>LPG boiler water heater - Hospital</v>
      </c>
      <c r="E37" s="61" t="s">
        <v>30</v>
      </c>
      <c r="F37" s="61" t="s">
        <v>31</v>
      </c>
      <c r="G37" s="61"/>
      <c r="H37" s="61"/>
    </row>
    <row r="38" spans="1:8" x14ac:dyDescent="0.2">
      <c r="A38" s="97"/>
      <c r="B38" s="61" t="s">
        <v>439</v>
      </c>
      <c r="C38" s="61" t="str">
        <f>COM_HO!B67</f>
        <v>C_ES-WH-HO_OIL01</v>
      </c>
      <c r="D38" s="137" t="str">
        <f>'Generalized Data'!$B$143&amp;" - "&amp;$C$5</f>
        <v>Oil boiler water heater - Hospital</v>
      </c>
      <c r="E38" s="61" t="s">
        <v>30</v>
      </c>
      <c r="F38" s="61" t="s">
        <v>31</v>
      </c>
      <c r="G38" s="61"/>
      <c r="H38" s="61"/>
    </row>
    <row r="39" spans="1:8" x14ac:dyDescent="0.2">
      <c r="A39" s="97"/>
      <c r="B39" s="61" t="s">
        <v>439</v>
      </c>
      <c r="C39" s="61" t="str">
        <f>COM_HO!B68</f>
        <v>C_ES-WH-HO_ELC03</v>
      </c>
      <c r="D39" s="137" t="str">
        <f>'Generalized Data'!$B$144&amp;" - "&amp;$C$5</f>
        <v>Solar water heater with electricity backup - Hospital</v>
      </c>
      <c r="E39" s="61" t="s">
        <v>30</v>
      </c>
      <c r="F39" s="61" t="s">
        <v>31</v>
      </c>
      <c r="G39" s="61"/>
      <c r="H39" s="61"/>
    </row>
    <row r="40" spans="1:8" x14ac:dyDescent="0.2">
      <c r="A40" s="97"/>
      <c r="B40" s="61" t="s">
        <v>439</v>
      </c>
      <c r="C40" s="61" t="str">
        <f>COM_HO!B70</f>
        <v>C_ES-WH-HO_OIL02</v>
      </c>
      <c r="D40" s="137" t="str">
        <f>'Generalized Data'!$B$145&amp;" - "&amp;$C$5</f>
        <v>Solar water heater with diesel backup - Hospital</v>
      </c>
      <c r="E40" s="61" t="s">
        <v>30</v>
      </c>
      <c r="F40" s="61" t="s">
        <v>31</v>
      </c>
      <c r="G40" s="61"/>
      <c r="H40" s="61"/>
    </row>
    <row r="41" spans="1:8" x14ac:dyDescent="0.2">
      <c r="A41" s="97"/>
      <c r="B41" s="136" t="s">
        <v>439</v>
      </c>
      <c r="C41" s="136" t="str">
        <f>COM_HO!B72</f>
        <v>C_ES-WH-HO_GAS02</v>
      </c>
      <c r="D41" s="136" t="str">
        <f>'Generalized Data'!$B$146&amp;" - "&amp;$C$5</f>
        <v>Solar water heater with gas backup - Hospital</v>
      </c>
      <c r="E41" s="136" t="s">
        <v>30</v>
      </c>
      <c r="F41" s="136" t="s">
        <v>31</v>
      </c>
      <c r="G41" s="136"/>
      <c r="H41" s="136"/>
    </row>
    <row r="42" spans="1:8" x14ac:dyDescent="0.2">
      <c r="A42" s="97"/>
      <c r="B42" s="61" t="s">
        <v>439</v>
      </c>
      <c r="C42" s="61" t="str">
        <f>COM_HO!B78</f>
        <v>C_ES-SC-HO_ELC01</v>
      </c>
      <c r="D42" s="61" t="str">
        <f>'Generalized Data'!$B$149&amp;" - "&amp;$C$5</f>
        <v>Room air-conditioner - Hospital</v>
      </c>
      <c r="E42" s="61" t="s">
        <v>30</v>
      </c>
      <c r="F42" s="61" t="s">
        <v>31</v>
      </c>
      <c r="G42" s="61"/>
      <c r="H42" s="61"/>
    </row>
    <row r="43" spans="1:8" x14ac:dyDescent="0.2">
      <c r="A43" s="97"/>
      <c r="B43" s="61" t="s">
        <v>439</v>
      </c>
      <c r="C43" s="61" t="str">
        <f>COM_HO!B79</f>
        <v>C_ES-SC-HO_ELC02</v>
      </c>
      <c r="D43" s="137" t="str">
        <f>'Generalized Data'!$B$150&amp;" - "&amp;$C$5</f>
        <v>Air fans - Hospital</v>
      </c>
      <c r="E43" s="61" t="s">
        <v>30</v>
      </c>
      <c r="F43" s="61" t="s">
        <v>31</v>
      </c>
      <c r="G43" s="61"/>
      <c r="H43" s="61"/>
    </row>
    <row r="44" spans="1:8" x14ac:dyDescent="0.2">
      <c r="A44" s="97"/>
      <c r="B44" s="61" t="s">
        <v>439</v>
      </c>
      <c r="C44" s="61" t="str">
        <f>COM_HO!B80</f>
        <v>C_ES-SC-HO_ELC03</v>
      </c>
      <c r="D44" s="137" t="str">
        <f>'Generalized Data'!$B$151&amp;" - "&amp;$C$5</f>
        <v>Roof-top central electric chiller - Hospital</v>
      </c>
      <c r="E44" s="61" t="s">
        <v>30</v>
      </c>
      <c r="F44" s="61" t="s">
        <v>31</v>
      </c>
      <c r="G44" s="61"/>
      <c r="H44" s="61"/>
    </row>
    <row r="45" spans="1:8" x14ac:dyDescent="0.2">
      <c r="A45" s="97"/>
      <c r="B45" s="61" t="s">
        <v>439</v>
      </c>
      <c r="C45" s="61" t="str">
        <f>COM_HO!B81</f>
        <v>C_ES-SC-HO_ELC04</v>
      </c>
      <c r="D45" s="137" t="str">
        <f>'Generalized Data'!$B$152&amp;" - "&amp;$C$5</f>
        <v>Centralized electrical air conditioner - Hospital</v>
      </c>
      <c r="E45" s="61" t="s">
        <v>30</v>
      </c>
      <c r="F45" s="61" t="s">
        <v>31</v>
      </c>
      <c r="G45" s="61"/>
      <c r="H45" s="61"/>
    </row>
    <row r="46" spans="1:8" x14ac:dyDescent="0.2">
      <c r="A46" s="97"/>
      <c r="B46" s="61" t="s">
        <v>439</v>
      </c>
      <c r="C46" s="61" t="str">
        <f>COM_HO!B82</f>
        <v>C_ES-SC-HO_ELC05</v>
      </c>
      <c r="D46" s="137" t="str">
        <f>'Generalized Data'!$B$153&amp;" - "&amp;$C$5</f>
        <v>Non-reversible electricity heat pump - Hospital</v>
      </c>
      <c r="E46" s="61" t="s">
        <v>30</v>
      </c>
      <c r="F46" s="61" t="s">
        <v>31</v>
      </c>
      <c r="G46" s="61"/>
      <c r="H46" s="61"/>
    </row>
    <row r="47" spans="1:8" x14ac:dyDescent="0.2">
      <c r="A47" s="97"/>
      <c r="B47" s="61" t="s">
        <v>439</v>
      </c>
      <c r="C47" s="61" t="str">
        <f>COM_HO!B83</f>
        <v>C_ES-SC-HO_GAS01</v>
      </c>
      <c r="D47" s="137" t="str">
        <f>'Generalized Data'!$B$154&amp;" - "&amp;$C$5</f>
        <v>Centralized gas air conditioner - Hospital</v>
      </c>
      <c r="E47" s="61" t="s">
        <v>30</v>
      </c>
      <c r="F47" s="61" t="s">
        <v>31</v>
      </c>
      <c r="G47" s="61"/>
      <c r="H47" s="61"/>
    </row>
    <row r="48" spans="1:8" x14ac:dyDescent="0.2">
      <c r="A48" s="97"/>
      <c r="B48" s="61" t="s">
        <v>439</v>
      </c>
      <c r="C48" s="61" t="str">
        <f>COM_HO!B84</f>
        <v>C_ES-SC-HO_GAS02</v>
      </c>
      <c r="D48" s="136" t="str">
        <f>'Generalized Data'!$B$155&amp;" - "&amp;$C$5</f>
        <v>Non reversible gas heat pump - Hospital</v>
      </c>
      <c r="E48" s="61" t="s">
        <v>30</v>
      </c>
      <c r="F48" s="61" t="s">
        <v>31</v>
      </c>
      <c r="G48" s="61"/>
      <c r="H48" s="61"/>
    </row>
    <row r="49" spans="1:8" ht="14.25" x14ac:dyDescent="0.2">
      <c r="A49" s="97"/>
      <c r="B49" s="99" t="str">
        <f>"\I:"&amp;"COMHR"</f>
        <v>\I:COMHR</v>
      </c>
      <c r="C49" s="99" t="s">
        <v>474</v>
      </c>
      <c r="D49" s="99"/>
      <c r="E49" s="99"/>
      <c r="F49" s="99"/>
      <c r="G49" s="99"/>
      <c r="H49" s="99"/>
    </row>
    <row r="50" spans="1:8" x14ac:dyDescent="0.2">
      <c r="A50" s="97"/>
      <c r="B50" s="61" t="s">
        <v>439</v>
      </c>
      <c r="C50" s="61" t="str">
        <f>COM_HR!B6</f>
        <v>C_ES-SH-HR_ELC01</v>
      </c>
      <c r="D50" s="61" t="str">
        <f>'Generalized Data'!$B$109&amp;" - "&amp;$C$49</f>
        <v>Electric radiators  - Hotels &amp; Restaurant</v>
      </c>
      <c r="E50" s="61" t="s">
        <v>30</v>
      </c>
      <c r="F50" s="61" t="s">
        <v>31</v>
      </c>
      <c r="G50" s="61"/>
      <c r="H50" s="64"/>
    </row>
    <row r="51" spans="1:8" x14ac:dyDescent="0.2">
      <c r="A51" s="97"/>
      <c r="B51" s="61" t="s">
        <v>439</v>
      </c>
      <c r="C51" s="61" t="str">
        <f>COM_HR!B7</f>
        <v>C_ES-SH-HR_ELC02</v>
      </c>
      <c r="D51" s="137" t="str">
        <f>'Generalized Data'!$B$110&amp;" - "&amp;$C$49</f>
        <v>Electric boiler - Hotels &amp; Restaurant</v>
      </c>
      <c r="E51" s="61" t="s">
        <v>30</v>
      </c>
      <c r="F51" s="61" t="s">
        <v>31</v>
      </c>
      <c r="G51" s="61"/>
      <c r="H51" s="64"/>
    </row>
    <row r="52" spans="1:8" x14ac:dyDescent="0.2">
      <c r="A52" s="97"/>
      <c r="B52" s="61" t="s">
        <v>439</v>
      </c>
      <c r="C52" s="61" t="str">
        <f>COM_HR!B8</f>
        <v>C_ES-SH-HR_ELC03</v>
      </c>
      <c r="D52" s="137" t="str">
        <f>'Generalized Data'!$B$111&amp;" - "&amp;$C$49</f>
        <v>Air heat pump Electric - Hotels &amp; Restaurant</v>
      </c>
      <c r="E52" s="61" t="s">
        <v>30</v>
      </c>
      <c r="F52" s="61" t="s">
        <v>31</v>
      </c>
      <c r="G52" s="61"/>
      <c r="H52" s="64" t="s">
        <v>384</v>
      </c>
    </row>
    <row r="53" spans="1:8" x14ac:dyDescent="0.2">
      <c r="A53" s="97"/>
      <c r="B53" s="61" t="s">
        <v>439</v>
      </c>
      <c r="C53" s="61" t="str">
        <f>COM_HR!B10</f>
        <v>C_ES-SH-HR_ELC04</v>
      </c>
      <c r="D53" s="137" t="str">
        <f>'Generalized Data'!$B$112&amp;" - "&amp;$C$49</f>
        <v>Air heat pump Electric HeatCool - Hotels &amp; Restaurant</v>
      </c>
      <c r="E53" s="61" t="s">
        <v>30</v>
      </c>
      <c r="F53" s="61" t="s">
        <v>31</v>
      </c>
      <c r="G53" s="61"/>
      <c r="H53" s="64" t="s">
        <v>384</v>
      </c>
    </row>
    <row r="54" spans="1:8" x14ac:dyDescent="0.2">
      <c r="A54" s="97"/>
      <c r="B54" s="61" t="s">
        <v>439</v>
      </c>
      <c r="C54" s="61" t="str">
        <f>COM_HR!B13</f>
        <v>C_ES-SH-HR_ELC05</v>
      </c>
      <c r="D54" s="137" t="str">
        <f>'Generalized Data'!$B$113&amp;" - "&amp;$C$49</f>
        <v>Adv Air heat pump Electric HeatCool - Hotels &amp; Restaurant</v>
      </c>
      <c r="E54" s="61" t="s">
        <v>30</v>
      </c>
      <c r="F54" s="61" t="s">
        <v>31</v>
      </c>
      <c r="G54" s="61"/>
      <c r="H54" s="64" t="s">
        <v>384</v>
      </c>
    </row>
    <row r="55" spans="1:8" x14ac:dyDescent="0.2">
      <c r="A55" s="97"/>
      <c r="B55" s="61" t="s">
        <v>439</v>
      </c>
      <c r="C55" s="61" t="str">
        <f>COM_HR!B16</f>
        <v>C_ES-SH-HR_ELC06</v>
      </c>
      <c r="D55" s="137" t="str">
        <f>'Generalized Data'!$B$114&amp;" - "&amp;$C$49</f>
        <v>Ground heat pump Electric - Hotels &amp; Restaurant</v>
      </c>
      <c r="E55" s="61" t="s">
        <v>30</v>
      </c>
      <c r="F55" s="61" t="s">
        <v>31</v>
      </c>
      <c r="G55" s="61"/>
      <c r="H55" s="64" t="s">
        <v>384</v>
      </c>
    </row>
    <row r="56" spans="1:8" x14ac:dyDescent="0.2">
      <c r="A56" s="97"/>
      <c r="B56" s="61" t="s">
        <v>439</v>
      </c>
      <c r="C56" s="61" t="str">
        <f>COM_HR!B19</f>
        <v>C_ES-SH-HR_ELC07</v>
      </c>
      <c r="D56" s="137" t="str">
        <f>'Generalized Data'!$B$115&amp;" - "&amp;$C$49</f>
        <v>Ground heat pump Electric HeatCool - Hotels &amp; Restaurant</v>
      </c>
      <c r="E56" s="61" t="s">
        <v>30</v>
      </c>
      <c r="F56" s="61" t="s">
        <v>31</v>
      </c>
      <c r="G56" s="61"/>
      <c r="H56" s="64" t="s">
        <v>384</v>
      </c>
    </row>
    <row r="57" spans="1:8" x14ac:dyDescent="0.2">
      <c r="A57" s="97"/>
      <c r="B57" s="61" t="s">
        <v>439</v>
      </c>
      <c r="C57" s="61" t="str">
        <f>COM_HR!B22</f>
        <v>C_ES-SH-HR_ELC08</v>
      </c>
      <c r="D57" s="137" t="str">
        <f>'Generalized Data'!$B$116&amp;" - "&amp;$C$49</f>
        <v>Groundwater heat pump Electric Heat Cool - Hotels &amp; Restaurant</v>
      </c>
      <c r="E57" s="61" t="s">
        <v>30</v>
      </c>
      <c r="F57" s="61" t="s">
        <v>31</v>
      </c>
      <c r="G57" s="61"/>
      <c r="H57" s="64" t="s">
        <v>384</v>
      </c>
    </row>
    <row r="58" spans="1:8" x14ac:dyDescent="0.2">
      <c r="A58" s="97"/>
      <c r="B58" s="61" t="s">
        <v>439</v>
      </c>
      <c r="C58" s="61" t="str">
        <f>COM_HR!B25</f>
        <v>C_ES-SH-HR_GAS01</v>
      </c>
      <c r="D58" s="137" t="str">
        <f>'Generalized Data'!$B$117&amp;" - "&amp;$C$49</f>
        <v>Natural gas stove  - Hotels &amp; Restaurant</v>
      </c>
      <c r="E58" s="61" t="s">
        <v>30</v>
      </c>
      <c r="F58" s="61" t="s">
        <v>31</v>
      </c>
      <c r="G58" s="61"/>
      <c r="H58" s="64"/>
    </row>
    <row r="59" spans="1:8" x14ac:dyDescent="0.2">
      <c r="A59" s="97"/>
      <c r="B59" s="61" t="s">
        <v>439</v>
      </c>
      <c r="C59" s="61" t="str">
        <f>COM_HR!B26</f>
        <v>C_ES-SH-HR_GAS02</v>
      </c>
      <c r="D59" s="137" t="str">
        <f>'Generalized Data'!$B$118&amp;" - "&amp;$C$49</f>
        <v>Natural gas boiler  - Hotels &amp; Restaurant</v>
      </c>
      <c r="E59" s="61" t="s">
        <v>30</v>
      </c>
      <c r="F59" s="61" t="s">
        <v>31</v>
      </c>
      <c r="G59" s="61"/>
      <c r="H59" s="64"/>
    </row>
    <row r="60" spans="1:8" x14ac:dyDescent="0.2">
      <c r="A60" s="97"/>
      <c r="B60" s="61" t="s">
        <v>439</v>
      </c>
      <c r="C60" s="61" t="str">
        <f>COM_HR!B27</f>
        <v>C_ES-SH-HR_GAS03</v>
      </c>
      <c r="D60" s="137" t="str">
        <f>'Generalized Data'!$B$119&amp;" - "&amp;$C$49</f>
        <v>Natural gas boiler.HeatHotwater  - Hotels &amp; Restaurant</v>
      </c>
      <c r="E60" s="61" t="s">
        <v>30</v>
      </c>
      <c r="F60" s="61" t="s">
        <v>31</v>
      </c>
      <c r="G60" s="61"/>
      <c r="H60" s="64"/>
    </row>
    <row r="61" spans="1:8" x14ac:dyDescent="0.2">
      <c r="A61" s="97"/>
      <c r="B61" s="61" t="s">
        <v>439</v>
      </c>
      <c r="C61" s="61" t="str">
        <f>COM_HR!B29</f>
        <v>C_ES-SH-HR_GAS04</v>
      </c>
      <c r="D61" s="137" t="str">
        <f>'Generalized Data'!$B$120&amp;" - "&amp;$C$49</f>
        <v>Natural gas boiler condensing  - Hotels &amp; Restaurant</v>
      </c>
      <c r="E61" s="61" t="s">
        <v>30</v>
      </c>
      <c r="F61" s="61" t="s">
        <v>31</v>
      </c>
      <c r="G61" s="61"/>
      <c r="H61" s="64"/>
    </row>
    <row r="62" spans="1:8" x14ac:dyDescent="0.2">
      <c r="A62" s="97"/>
      <c r="B62" s="61" t="s">
        <v>439</v>
      </c>
      <c r="C62" s="61" t="str">
        <f>COM_HR!B30</f>
        <v>C_ES-SH-HR_GAS05</v>
      </c>
      <c r="D62" s="137" t="str">
        <f>'Generalized Data'!$B$121&amp;" - "&amp;$C$49</f>
        <v>Natural gas boiler condensing.HeatHotwater  - Hotels &amp; Restaurant</v>
      </c>
      <c r="E62" s="61" t="s">
        <v>30</v>
      </c>
      <c r="F62" s="61" t="s">
        <v>31</v>
      </c>
      <c r="G62" s="61"/>
      <c r="H62" s="64"/>
    </row>
    <row r="63" spans="1:8" x14ac:dyDescent="0.2">
      <c r="A63" s="97"/>
      <c r="B63" s="61" t="s">
        <v>439</v>
      </c>
      <c r="C63" s="61" t="str">
        <f>COM_HR!B32</f>
        <v>C_ES-SH-HR_GAS06</v>
      </c>
      <c r="D63" s="137" t="str">
        <f>'Generalized Data'!$B$122&amp;" - "&amp;$C$49</f>
        <v>Air heat pump Natural gas HeatCool - Hotels &amp; Restaurant</v>
      </c>
      <c r="E63" s="61" t="s">
        <v>30</v>
      </c>
      <c r="F63" s="61" t="s">
        <v>31</v>
      </c>
      <c r="G63" s="61"/>
      <c r="H63" s="64" t="s">
        <v>384</v>
      </c>
    </row>
    <row r="64" spans="1:8" x14ac:dyDescent="0.2">
      <c r="A64" s="97"/>
      <c r="B64" s="61" t="s">
        <v>439</v>
      </c>
      <c r="C64" s="61" t="str">
        <f>COM_HR!B34</f>
        <v>C_ES-SH-HR_GAS07</v>
      </c>
      <c r="D64" s="137" t="str">
        <f>'Generalized Data'!$B$123&amp;" - "&amp;$C$49</f>
        <v>Groundwater heat pump with natural gas.HeatCool - Hotels &amp; Restaurant</v>
      </c>
      <c r="E64" s="61" t="s">
        <v>30</v>
      </c>
      <c r="F64" s="61" t="s">
        <v>31</v>
      </c>
      <c r="G64" s="61"/>
      <c r="H64" s="64" t="s">
        <v>384</v>
      </c>
    </row>
    <row r="65" spans="1:8" x14ac:dyDescent="0.2">
      <c r="A65" s="97"/>
      <c r="B65" s="61" t="s">
        <v>439</v>
      </c>
      <c r="C65" s="61" t="str">
        <f>COM_HR!B36</f>
        <v>C_ES-SH-HR_LPG01</v>
      </c>
      <c r="D65" s="137" t="str">
        <f>'Generalized Data'!$B$124&amp;" - "&amp;$C$49</f>
        <v>LPG boiler  - Hotels &amp; Restaurant</v>
      </c>
      <c r="E65" s="61" t="s">
        <v>30</v>
      </c>
      <c r="F65" s="61" t="s">
        <v>31</v>
      </c>
      <c r="G65" s="61"/>
      <c r="H65" s="64"/>
    </row>
    <row r="66" spans="1:8" x14ac:dyDescent="0.2">
      <c r="A66" s="97"/>
      <c r="B66" s="61" t="s">
        <v>439</v>
      </c>
      <c r="C66" s="61" t="str">
        <f>COM_HR!B37</f>
        <v>C_ES-SH-HR_LPG02</v>
      </c>
      <c r="D66" s="137" t="str">
        <f>'Generalized Data'!$B$125&amp;" - "&amp;$C$49</f>
        <v>LPG boiler.HeatHotwater  - Hotels &amp; Restaurant</v>
      </c>
      <c r="E66" s="61" t="s">
        <v>30</v>
      </c>
      <c r="F66" s="61" t="s">
        <v>31</v>
      </c>
      <c r="G66" s="61"/>
      <c r="H66" s="64"/>
    </row>
    <row r="67" spans="1:8" x14ac:dyDescent="0.2">
      <c r="A67" s="97"/>
      <c r="B67" s="61" t="s">
        <v>439</v>
      </c>
      <c r="C67" s="61" t="str">
        <f>COM_HR!B39</f>
        <v>C_ES-SH-HR_LPG03</v>
      </c>
      <c r="D67" s="137" t="str">
        <f>'Generalized Data'!$B$126&amp;" - "&amp;$C$49</f>
        <v>Air heat pump with LPG boiler.HeatCool - Hotels &amp; Restaurant</v>
      </c>
      <c r="E67" s="61" t="s">
        <v>30</v>
      </c>
      <c r="F67" s="61" t="s">
        <v>31</v>
      </c>
      <c r="G67" s="61"/>
      <c r="H67" s="64" t="s">
        <v>384</v>
      </c>
    </row>
    <row r="68" spans="1:8" x14ac:dyDescent="0.2">
      <c r="A68" s="97"/>
      <c r="B68" s="61" t="s">
        <v>439</v>
      </c>
      <c r="C68" s="61" t="str">
        <f>COM_HR!B41</f>
        <v>C_ES-SH-HR_HET01</v>
      </c>
      <c r="D68" s="137" t="str">
        <f>'Generalized Data'!$B$127&amp;" - "&amp;$C$49</f>
        <v>District heat exchanger.HeatHotwater  - Hotels &amp; Restaurant</v>
      </c>
      <c r="E68" s="61" t="s">
        <v>30</v>
      </c>
      <c r="F68" s="61" t="s">
        <v>31</v>
      </c>
      <c r="G68" s="61"/>
      <c r="H68" s="64"/>
    </row>
    <row r="69" spans="1:8" x14ac:dyDescent="0.2">
      <c r="A69" s="97"/>
      <c r="B69" s="61" t="s">
        <v>439</v>
      </c>
      <c r="C69" s="61" t="str">
        <f>COM_HR!B43</f>
        <v>C_ES-SH-HR_OIL01</v>
      </c>
      <c r="D69" s="137" t="str">
        <f>'Generalized Data'!$B$128&amp;" - "&amp;$C$49</f>
        <v>Oil boiler  - Hotels &amp; Restaurant</v>
      </c>
      <c r="E69" s="61" t="s">
        <v>30</v>
      </c>
      <c r="F69" s="61" t="s">
        <v>31</v>
      </c>
      <c r="G69" s="61"/>
      <c r="H69" s="64"/>
    </row>
    <row r="70" spans="1:8" x14ac:dyDescent="0.2">
      <c r="A70" s="97"/>
      <c r="B70" s="61" t="s">
        <v>439</v>
      </c>
      <c r="C70" s="61" t="str">
        <f>COM_HR!B44</f>
        <v>C_ES-SH-HR_OIL02</v>
      </c>
      <c r="D70" s="137" t="str">
        <f>'Generalized Data'!$B$129&amp;" - "&amp;$C$49</f>
        <v>Oil boiler.HeatHotwater  - Hotels &amp; Restaurant</v>
      </c>
      <c r="E70" s="61" t="s">
        <v>30</v>
      </c>
      <c r="F70" s="61" t="s">
        <v>31</v>
      </c>
      <c r="G70" s="61"/>
      <c r="H70" s="64"/>
    </row>
    <row r="71" spans="1:8" x14ac:dyDescent="0.2">
      <c r="A71" s="97"/>
      <c r="B71" s="61" t="s">
        <v>439</v>
      </c>
      <c r="C71" s="61" t="str">
        <f>COM_HR!B46</f>
        <v>C_ES-SH-HR_OIL03</v>
      </c>
      <c r="D71" s="137" t="str">
        <f>'Generalized Data'!$B$130&amp;" - "&amp;$C$49</f>
        <v>Oil boiler condensing.HeatHotwater - Hotels &amp; Restaurant</v>
      </c>
      <c r="E71" s="61" t="s">
        <v>30</v>
      </c>
      <c r="F71" s="61" t="s">
        <v>31</v>
      </c>
      <c r="G71" s="61"/>
      <c r="H71" s="64"/>
    </row>
    <row r="72" spans="1:8" x14ac:dyDescent="0.2">
      <c r="A72" s="97"/>
      <c r="B72" s="61" t="s">
        <v>439</v>
      </c>
      <c r="C72" s="61" t="str">
        <f>COM_HR!B48</f>
        <v>C_ES-SH-HR_ELC09</v>
      </c>
      <c r="D72" s="137" t="str">
        <f>'Generalized Data'!$B$131&amp;" - "&amp;$C$49</f>
        <v>Solar collector with electric backup.HeatHotwater  - Hotels &amp; Restaurant</v>
      </c>
      <c r="E72" s="61" t="s">
        <v>30</v>
      </c>
      <c r="F72" s="61" t="s">
        <v>31</v>
      </c>
      <c r="G72" s="61"/>
      <c r="H72" s="64"/>
    </row>
    <row r="73" spans="1:8" x14ac:dyDescent="0.2">
      <c r="A73" s="97"/>
      <c r="B73" s="61" t="s">
        <v>439</v>
      </c>
      <c r="C73" s="61" t="str">
        <f>COM_HR!B50</f>
        <v>C_ES-SH-HR_OIL04</v>
      </c>
      <c r="D73" s="137" t="str">
        <f>'Generalized Data'!$B$132&amp;" - "&amp;$C$49</f>
        <v>Solar collector with diesel backup.HeatHotwater  - Hotels &amp; Restaurant</v>
      </c>
      <c r="E73" s="61" t="s">
        <v>30</v>
      </c>
      <c r="F73" s="61" t="s">
        <v>31</v>
      </c>
      <c r="G73" s="61"/>
      <c r="H73" s="64"/>
    </row>
    <row r="74" spans="1:8" x14ac:dyDescent="0.2">
      <c r="A74" s="97"/>
      <c r="B74" s="61" t="s">
        <v>439</v>
      </c>
      <c r="C74" s="61" t="str">
        <f>COM_HR!B52</f>
        <v>C_ES-SH-HR_GAS08</v>
      </c>
      <c r="D74" s="137" t="str">
        <f>'Generalized Data'!$B$133&amp;" - "&amp;$C$49</f>
        <v>Solar collector with gas backup.HeatHotwater  - Hotels &amp; Restaurant</v>
      </c>
      <c r="E74" s="61" t="s">
        <v>30</v>
      </c>
      <c r="F74" s="61" t="s">
        <v>31</v>
      </c>
      <c r="G74" s="61"/>
      <c r="H74" s="64"/>
    </row>
    <row r="75" spans="1:8" x14ac:dyDescent="0.2">
      <c r="A75" s="97"/>
      <c r="B75" s="136" t="s">
        <v>439</v>
      </c>
      <c r="C75" s="136" t="str">
        <f>COM_HR!B54</f>
        <v>C_ES-SH-HR_BIO01</v>
      </c>
      <c r="D75" s="136" t="str">
        <f>'Generalized Data'!$B$134&amp;" - "&amp;$C$49</f>
        <v>Wood-pellets boiler.HeatHotwater  - Hotels &amp; Restaurant</v>
      </c>
      <c r="E75" s="136" t="s">
        <v>30</v>
      </c>
      <c r="F75" s="136" t="s">
        <v>31</v>
      </c>
      <c r="G75" s="136"/>
      <c r="H75" s="104"/>
    </row>
    <row r="76" spans="1:8" x14ac:dyDescent="0.2">
      <c r="A76" s="97"/>
      <c r="B76" s="61" t="s">
        <v>439</v>
      </c>
      <c r="C76" s="61" t="str">
        <f>COM_HR!B60</f>
        <v>C_ES-WH-HR_BIO01</v>
      </c>
      <c r="D76" s="61" t="str">
        <f>'Generalized Data'!$B$137&amp;" - "&amp;$C$49</f>
        <v>Wood pellets boiler water heater - Hotels &amp; Restaurant</v>
      </c>
      <c r="E76" s="61" t="s">
        <v>30</v>
      </c>
      <c r="F76" s="61" t="s">
        <v>31</v>
      </c>
      <c r="G76" s="61"/>
      <c r="H76" s="61"/>
    </row>
    <row r="77" spans="1:8" x14ac:dyDescent="0.2">
      <c r="A77" s="97"/>
      <c r="B77" s="61" t="s">
        <v>439</v>
      </c>
      <c r="C77" s="61" t="str">
        <f>COM_HR!B61</f>
        <v>C_ES-WH-HR_ELC01</v>
      </c>
      <c r="D77" s="137" t="str">
        <f>'Generalized Data'!$B$138&amp;" - "&amp;$C$49</f>
        <v>Electric boiler water heater resistance - Hotels &amp; Restaurant</v>
      </c>
      <c r="E77" s="61" t="s">
        <v>30</v>
      </c>
      <c r="F77" s="61" t="s">
        <v>31</v>
      </c>
      <c r="G77" s="61"/>
      <c r="H77" s="61"/>
    </row>
    <row r="78" spans="1:8" x14ac:dyDescent="0.2">
      <c r="A78" s="97"/>
      <c r="B78" s="61" t="s">
        <v>439</v>
      </c>
      <c r="C78" s="61" t="str">
        <f>COM_HR!B62</f>
        <v>C_ES-WH-HR_ELC02</v>
      </c>
      <c r="D78" s="137" t="str">
        <f>'Generalized Data'!$B$139&amp;" - "&amp;$C$49</f>
        <v>Electric heat pump water heater - Hotels &amp; Restaurant</v>
      </c>
      <c r="E78" s="61" t="s">
        <v>30</v>
      </c>
      <c r="F78" s="61" t="s">
        <v>31</v>
      </c>
      <c r="G78" s="61"/>
      <c r="H78" s="61"/>
    </row>
    <row r="79" spans="1:8" x14ac:dyDescent="0.2">
      <c r="A79" s="97"/>
      <c r="B79" s="61" t="s">
        <v>439</v>
      </c>
      <c r="C79" s="61" t="str">
        <f>COM_HR!B64</f>
        <v>C_ES-WH-HR_GAS01</v>
      </c>
      <c r="D79" s="137" t="str">
        <f>'Generalized Data'!$B$140&amp;" - "&amp;$C$49</f>
        <v>Natural gas boiler water heater - Hotels &amp; Restaurant</v>
      </c>
      <c r="E79" s="61" t="s">
        <v>30</v>
      </c>
      <c r="F79" s="61" t="s">
        <v>31</v>
      </c>
      <c r="G79" s="61"/>
      <c r="H79" s="61"/>
    </row>
    <row r="80" spans="1:8" x14ac:dyDescent="0.2">
      <c r="A80" s="97"/>
      <c r="B80" s="61" t="s">
        <v>439</v>
      </c>
      <c r="C80" s="61" t="str">
        <f>COM_HR!B65</f>
        <v>C_ES-WH-HR_GEO01</v>
      </c>
      <c r="D80" s="137" t="str">
        <f>'Generalized Data'!$B$141&amp;" - "&amp;$C$49</f>
        <v>Geo Heat Exchanger water heater - Hotels &amp; Restaurant</v>
      </c>
      <c r="E80" s="61" t="s">
        <v>30</v>
      </c>
      <c r="F80" s="61" t="s">
        <v>31</v>
      </c>
      <c r="G80" s="61"/>
      <c r="H80" s="61"/>
    </row>
    <row r="81" spans="1:8" x14ac:dyDescent="0.2">
      <c r="A81" s="97"/>
      <c r="B81" s="61" t="s">
        <v>439</v>
      </c>
      <c r="C81" s="61" t="str">
        <f>COM_HR!B66</f>
        <v>C_ES-WH-HR_LPG01</v>
      </c>
      <c r="D81" s="137" t="str">
        <f>'Generalized Data'!$B$142&amp;" - "&amp;$C$49</f>
        <v>LPG boiler water heater - Hotels &amp; Restaurant</v>
      </c>
      <c r="E81" s="61" t="s">
        <v>30</v>
      </c>
      <c r="F81" s="61" t="s">
        <v>31</v>
      </c>
      <c r="G81" s="61"/>
      <c r="H81" s="61"/>
    </row>
    <row r="82" spans="1:8" x14ac:dyDescent="0.2">
      <c r="A82" s="97"/>
      <c r="B82" s="61" t="s">
        <v>439</v>
      </c>
      <c r="C82" s="61" t="str">
        <f>COM_HR!B67</f>
        <v>C_ES-WH-HR_OIL01</v>
      </c>
      <c r="D82" s="137" t="str">
        <f>'Generalized Data'!$B$143&amp;" - "&amp;$C$49</f>
        <v>Oil boiler water heater - Hotels &amp; Restaurant</v>
      </c>
      <c r="E82" s="61" t="s">
        <v>30</v>
      </c>
      <c r="F82" s="61" t="s">
        <v>31</v>
      </c>
      <c r="G82" s="61"/>
      <c r="H82" s="61"/>
    </row>
    <row r="83" spans="1:8" x14ac:dyDescent="0.2">
      <c r="A83" s="97"/>
      <c r="B83" s="61" t="s">
        <v>439</v>
      </c>
      <c r="C83" s="61" t="str">
        <f>COM_HR!B68</f>
        <v>C_ES-WH-HR_ELC03</v>
      </c>
      <c r="D83" s="137" t="str">
        <f>'Generalized Data'!$B$144&amp;" - "&amp;$C$49</f>
        <v>Solar water heater with electricity backup - Hotels &amp; Restaurant</v>
      </c>
      <c r="E83" s="61" t="s">
        <v>30</v>
      </c>
      <c r="F83" s="61" t="s">
        <v>31</v>
      </c>
      <c r="G83" s="61"/>
      <c r="H83" s="61"/>
    </row>
    <row r="84" spans="1:8" x14ac:dyDescent="0.2">
      <c r="A84" s="97"/>
      <c r="B84" s="61" t="s">
        <v>439</v>
      </c>
      <c r="C84" s="61" t="str">
        <f>COM_HR!B70</f>
        <v>C_ES-WH-HR_OIL01</v>
      </c>
      <c r="D84" s="137" t="str">
        <f>'Generalized Data'!$B$145&amp;" - "&amp;$C$49</f>
        <v>Solar water heater with diesel backup - Hotels &amp; Restaurant</v>
      </c>
      <c r="E84" s="61" t="s">
        <v>30</v>
      </c>
      <c r="F84" s="61" t="s">
        <v>31</v>
      </c>
      <c r="G84" s="61"/>
      <c r="H84" s="61"/>
    </row>
    <row r="85" spans="1:8" x14ac:dyDescent="0.2">
      <c r="A85" s="97"/>
      <c r="B85" s="61" t="s">
        <v>439</v>
      </c>
      <c r="C85" s="61" t="str">
        <f>COM_HR!B72</f>
        <v>C_ES-WH-HR_GAS01</v>
      </c>
      <c r="D85" s="137" t="str">
        <f>'Generalized Data'!$B$146&amp;" - "&amp;$C$49</f>
        <v>Solar water heater with gas backup - Hotels &amp; Restaurant</v>
      </c>
      <c r="E85" s="61" t="s">
        <v>30</v>
      </c>
      <c r="F85" s="61" t="s">
        <v>31</v>
      </c>
      <c r="G85" s="61"/>
      <c r="H85" s="61"/>
    </row>
    <row r="86" spans="1:8" x14ac:dyDescent="0.2">
      <c r="A86" s="97"/>
      <c r="B86" s="136" t="s">
        <v>439</v>
      </c>
      <c r="C86" s="136" t="str">
        <f>COM_HR!B74</f>
        <v>C_ES-WH-HR_WSE01</v>
      </c>
      <c r="D86" s="136" t="str">
        <f>'Generalized Data'!$B$147&amp;" - "&amp;$C$49</f>
        <v>FC output to HotWater demand - Hotels &amp; Restaurant</v>
      </c>
      <c r="E86" s="136" t="s">
        <v>30</v>
      </c>
      <c r="F86" s="136" t="s">
        <v>31</v>
      </c>
      <c r="G86" s="136"/>
      <c r="H86" s="136"/>
    </row>
    <row r="87" spans="1:8" x14ac:dyDescent="0.2">
      <c r="A87" s="97"/>
      <c r="B87" s="61" t="s">
        <v>439</v>
      </c>
      <c r="C87" s="61" t="str">
        <f>COM_HR!B79</f>
        <v>C_ES-SC-HR_ELC01</v>
      </c>
      <c r="D87" s="61" t="str">
        <f>'Generalized Data'!$B$149&amp;" - "&amp;$C$49</f>
        <v>Room air-conditioner - Hotels &amp; Restaurant</v>
      </c>
      <c r="E87" s="61" t="s">
        <v>30</v>
      </c>
      <c r="F87" s="61" t="s">
        <v>31</v>
      </c>
      <c r="G87" s="61"/>
      <c r="H87" s="61"/>
    </row>
    <row r="88" spans="1:8" x14ac:dyDescent="0.2">
      <c r="A88" s="97"/>
      <c r="B88" s="61" t="s">
        <v>439</v>
      </c>
      <c r="C88" s="61" t="str">
        <f>COM_HR!B80</f>
        <v>C_ES-SC-HR_ELC02</v>
      </c>
      <c r="D88" s="137" t="str">
        <f>'Generalized Data'!$B$150&amp;" - "&amp;$C$49</f>
        <v>Air fans - Hotels &amp; Restaurant</v>
      </c>
      <c r="E88" s="61" t="s">
        <v>30</v>
      </c>
      <c r="F88" s="61" t="s">
        <v>31</v>
      </c>
      <c r="G88" s="61"/>
      <c r="H88" s="61"/>
    </row>
    <row r="89" spans="1:8" x14ac:dyDescent="0.2">
      <c r="A89" s="97"/>
      <c r="B89" s="61" t="s">
        <v>439</v>
      </c>
      <c r="C89" s="61" t="str">
        <f>COM_HR!B81</f>
        <v>C_ES-SC-HR_ELC03</v>
      </c>
      <c r="D89" s="137" t="str">
        <f>'Generalized Data'!$B$151&amp;" - "&amp;$C$49</f>
        <v>Roof-top central electric chiller - Hotels &amp; Restaurant</v>
      </c>
      <c r="E89" s="61" t="s">
        <v>30</v>
      </c>
      <c r="F89" s="61" t="s">
        <v>31</v>
      </c>
      <c r="G89" s="61"/>
      <c r="H89" s="61"/>
    </row>
    <row r="90" spans="1:8" x14ac:dyDescent="0.2">
      <c r="A90" s="97"/>
      <c r="B90" s="61" t="s">
        <v>439</v>
      </c>
      <c r="C90" s="61" t="str">
        <f>COM_HR!B82</f>
        <v>C_ES-SC-HR_ELC04</v>
      </c>
      <c r="D90" s="137" t="str">
        <f>'Generalized Data'!$B$152&amp;" - "&amp;$C$49</f>
        <v>Centralized electrical air conditioner - Hotels &amp; Restaurant</v>
      </c>
      <c r="E90" s="61" t="s">
        <v>30</v>
      </c>
      <c r="F90" s="61" t="s">
        <v>31</v>
      </c>
      <c r="G90" s="61"/>
      <c r="H90" s="61"/>
    </row>
    <row r="91" spans="1:8" x14ac:dyDescent="0.2">
      <c r="A91" s="97"/>
      <c r="B91" s="61" t="s">
        <v>439</v>
      </c>
      <c r="C91" s="61" t="str">
        <f>COM_HR!B83</f>
        <v>C_ES-SC-HR_ELC05</v>
      </c>
      <c r="D91" s="137" t="str">
        <f>'Generalized Data'!$B$153&amp;" - "&amp;$C$49</f>
        <v>Non-reversible electricity heat pump - Hotels &amp; Restaurant</v>
      </c>
      <c r="E91" s="61" t="s">
        <v>30</v>
      </c>
      <c r="F91" s="61" t="s">
        <v>31</v>
      </c>
      <c r="G91" s="61"/>
      <c r="H91" s="61"/>
    </row>
    <row r="92" spans="1:8" x14ac:dyDescent="0.2">
      <c r="A92" s="97"/>
      <c r="B92" s="61" t="s">
        <v>439</v>
      </c>
      <c r="C92" s="61" t="str">
        <f>COM_HR!B84</f>
        <v>C_ES-SC-HR_GAS01</v>
      </c>
      <c r="D92" s="137" t="str">
        <f>'Generalized Data'!$B$154&amp;" - "&amp;$C$49</f>
        <v>Centralized gas air conditioner - Hotels &amp; Restaurant</v>
      </c>
      <c r="E92" s="61" t="s">
        <v>30</v>
      </c>
      <c r="F92" s="61" t="s">
        <v>31</v>
      </c>
      <c r="G92" s="61"/>
      <c r="H92" s="61"/>
    </row>
    <row r="93" spans="1:8" x14ac:dyDescent="0.2">
      <c r="A93" s="97"/>
      <c r="B93" s="61" t="s">
        <v>439</v>
      </c>
      <c r="C93" s="61" t="str">
        <f>COM_HR!B85</f>
        <v>C_ES-SC-HR_GAS02</v>
      </c>
      <c r="D93" s="136" t="str">
        <f>'Generalized Data'!$B$155&amp;" - "&amp;$C$49</f>
        <v>Non reversible gas heat pump - Hotels &amp; Restaurant</v>
      </c>
      <c r="E93" s="61" t="s">
        <v>30</v>
      </c>
      <c r="F93" s="61" t="s">
        <v>31</v>
      </c>
      <c r="G93" s="61"/>
      <c r="H93" s="61"/>
    </row>
    <row r="94" spans="1:8" ht="14.25" x14ac:dyDescent="0.2">
      <c r="A94" s="97"/>
      <c r="B94" s="99" t="str">
        <f>"\I:"&amp;"COMSR"</f>
        <v>\I:COMSR</v>
      </c>
      <c r="C94" s="99" t="s">
        <v>475</v>
      </c>
      <c r="D94" s="99"/>
      <c r="E94" s="99"/>
      <c r="F94" s="99"/>
      <c r="G94" s="99"/>
      <c r="H94" s="99"/>
    </row>
    <row r="95" spans="1:8" x14ac:dyDescent="0.2">
      <c r="A95" s="97"/>
      <c r="B95" s="61" t="s">
        <v>439</v>
      </c>
      <c r="C95" s="61" t="str">
        <f>COM_SR!B6</f>
        <v>C_ES-SH-SR_ELC01</v>
      </c>
      <c r="D95" s="61" t="str">
        <f>'Generalized Data'!$B$109&amp;" - "&amp;$C$94</f>
        <v>Electric radiators  - Sport and Recreation</v>
      </c>
      <c r="E95" s="61" t="s">
        <v>30</v>
      </c>
      <c r="F95" s="61" t="s">
        <v>31</v>
      </c>
      <c r="G95" s="61"/>
      <c r="H95" s="64"/>
    </row>
    <row r="96" spans="1:8" x14ac:dyDescent="0.2">
      <c r="A96" s="97"/>
      <c r="B96" s="61" t="s">
        <v>439</v>
      </c>
      <c r="C96" s="61" t="str">
        <f>COM_SR!B7</f>
        <v>C_ES-SH-SR_ELC02</v>
      </c>
      <c r="D96" s="137" t="str">
        <f>'Generalized Data'!$B$110&amp;" - "&amp;$C$94</f>
        <v>Electric boiler - Sport and Recreation</v>
      </c>
      <c r="E96" s="61" t="s">
        <v>30</v>
      </c>
      <c r="F96" s="61" t="s">
        <v>31</v>
      </c>
      <c r="G96" s="61"/>
      <c r="H96" s="64"/>
    </row>
    <row r="97" spans="1:8" x14ac:dyDescent="0.2">
      <c r="A97" s="97"/>
      <c r="B97" s="61" t="s">
        <v>439</v>
      </c>
      <c r="C97" s="61" t="str">
        <f>COM_SR!B8</f>
        <v>C_ES-SH-SR_ELC03</v>
      </c>
      <c r="D97" s="137" t="str">
        <f>'Generalized Data'!$B$111&amp;" - "&amp;$C$94</f>
        <v>Air heat pump Electric - Sport and Recreation</v>
      </c>
      <c r="E97" s="61" t="s">
        <v>30</v>
      </c>
      <c r="F97" s="61" t="s">
        <v>31</v>
      </c>
      <c r="G97" s="61"/>
      <c r="H97" s="64" t="s">
        <v>384</v>
      </c>
    </row>
    <row r="98" spans="1:8" x14ac:dyDescent="0.2">
      <c r="A98" s="97"/>
      <c r="B98" s="61" t="s">
        <v>439</v>
      </c>
      <c r="C98" s="61" t="str">
        <f>COM_SR!B10</f>
        <v>C_ES-SH-SR_ELC04</v>
      </c>
      <c r="D98" s="137" t="str">
        <f>'Generalized Data'!$B$112&amp;" - "&amp;$C$94</f>
        <v>Air heat pump Electric HeatCool - Sport and Recreation</v>
      </c>
      <c r="E98" s="61" t="s">
        <v>30</v>
      </c>
      <c r="F98" s="61" t="s">
        <v>31</v>
      </c>
      <c r="G98" s="61"/>
      <c r="H98" s="64" t="s">
        <v>384</v>
      </c>
    </row>
    <row r="99" spans="1:8" x14ac:dyDescent="0.2">
      <c r="A99" s="97"/>
      <c r="B99" s="61" t="s">
        <v>439</v>
      </c>
      <c r="C99" s="61" t="str">
        <f>COM_SR!B13</f>
        <v>C_ES-SH-SR_ELC05</v>
      </c>
      <c r="D99" s="137" t="str">
        <f>'Generalized Data'!$B$113&amp;" - "&amp;$C$94</f>
        <v>Adv Air heat pump Electric HeatCool - Sport and Recreation</v>
      </c>
      <c r="E99" s="61" t="s">
        <v>30</v>
      </c>
      <c r="F99" s="61" t="s">
        <v>31</v>
      </c>
      <c r="G99" s="61"/>
      <c r="H99" s="64" t="s">
        <v>384</v>
      </c>
    </row>
    <row r="100" spans="1:8" x14ac:dyDescent="0.2">
      <c r="A100" s="97"/>
      <c r="B100" s="61" t="s">
        <v>439</v>
      </c>
      <c r="C100" s="61" t="str">
        <f>COM_SR!B16</f>
        <v>C_ES-SH-SR_ELC06</v>
      </c>
      <c r="D100" s="137" t="str">
        <f>'Generalized Data'!$B$114&amp;" - "&amp;$C$94</f>
        <v>Ground heat pump Electric - Sport and Recreation</v>
      </c>
      <c r="E100" s="61" t="s">
        <v>30</v>
      </c>
      <c r="F100" s="61" t="s">
        <v>31</v>
      </c>
      <c r="G100" s="61"/>
      <c r="H100" s="64" t="s">
        <v>384</v>
      </c>
    </row>
    <row r="101" spans="1:8" x14ac:dyDescent="0.2">
      <c r="A101" s="97"/>
      <c r="B101" s="61" t="s">
        <v>439</v>
      </c>
      <c r="C101" s="61" t="str">
        <f>COM_SR!B19</f>
        <v>C_ES-SH-SR_ELC07</v>
      </c>
      <c r="D101" s="137" t="str">
        <f>'Generalized Data'!$B$115&amp;" - "&amp;$C$94</f>
        <v>Ground heat pump Electric HeatCool - Sport and Recreation</v>
      </c>
      <c r="E101" s="61" t="s">
        <v>30</v>
      </c>
      <c r="F101" s="61" t="s">
        <v>31</v>
      </c>
      <c r="G101" s="61"/>
      <c r="H101" s="64" t="s">
        <v>384</v>
      </c>
    </row>
    <row r="102" spans="1:8" x14ac:dyDescent="0.2">
      <c r="A102" s="97"/>
      <c r="B102" s="61" t="s">
        <v>439</v>
      </c>
      <c r="C102" s="61" t="str">
        <f>COM_SR!B22</f>
        <v>C_ES-SH-SR_ELC08</v>
      </c>
      <c r="D102" s="137" t="str">
        <f>'Generalized Data'!$B$116&amp;" - "&amp;$C$94</f>
        <v>Groundwater heat pump Electric Heat Cool - Sport and Recreation</v>
      </c>
      <c r="E102" s="61" t="s">
        <v>30</v>
      </c>
      <c r="F102" s="61" t="s">
        <v>31</v>
      </c>
      <c r="G102" s="61"/>
      <c r="H102" s="64" t="s">
        <v>384</v>
      </c>
    </row>
    <row r="103" spans="1:8" x14ac:dyDescent="0.2">
      <c r="A103" s="97"/>
      <c r="B103" s="61" t="s">
        <v>439</v>
      </c>
      <c r="C103" s="61" t="str">
        <f>COM_SR!B25</f>
        <v>C_ES-SH-SR_GAS01</v>
      </c>
      <c r="D103" s="137" t="str">
        <f>'Generalized Data'!$B$117&amp;" - "&amp;$C$94</f>
        <v>Natural gas stove  - Sport and Recreation</v>
      </c>
      <c r="E103" s="61" t="s">
        <v>30</v>
      </c>
      <c r="F103" s="61" t="s">
        <v>31</v>
      </c>
      <c r="G103" s="61"/>
      <c r="H103" s="64"/>
    </row>
    <row r="104" spans="1:8" x14ac:dyDescent="0.2">
      <c r="A104" s="97"/>
      <c r="B104" s="61" t="s">
        <v>439</v>
      </c>
      <c r="C104" s="61" t="str">
        <f>COM_SR!B26</f>
        <v>C_ES-SH-SR_GAS02</v>
      </c>
      <c r="D104" s="137" t="str">
        <f>'Generalized Data'!$B$118&amp;" - "&amp;$C$94</f>
        <v>Natural gas boiler  - Sport and Recreation</v>
      </c>
      <c r="E104" s="61" t="s">
        <v>30</v>
      </c>
      <c r="F104" s="61" t="s">
        <v>31</v>
      </c>
      <c r="G104" s="61"/>
      <c r="H104" s="64"/>
    </row>
    <row r="105" spans="1:8" x14ac:dyDescent="0.2">
      <c r="A105" s="97"/>
      <c r="B105" s="61" t="s">
        <v>439</v>
      </c>
      <c r="C105" s="61" t="str">
        <f>COM_SR!B27</f>
        <v>C_ES-SH-SR_GAS03</v>
      </c>
      <c r="D105" s="137" t="str">
        <f>'Generalized Data'!$B$119&amp;" - "&amp;$C$94</f>
        <v>Natural gas boiler.HeatHotwater  - Sport and Recreation</v>
      </c>
      <c r="E105" s="61" t="s">
        <v>30</v>
      </c>
      <c r="F105" s="61" t="s">
        <v>31</v>
      </c>
      <c r="G105" s="61"/>
      <c r="H105" s="64"/>
    </row>
    <row r="106" spans="1:8" x14ac:dyDescent="0.2">
      <c r="A106" s="97"/>
      <c r="B106" s="61" t="s">
        <v>439</v>
      </c>
      <c r="C106" s="61" t="str">
        <f>COM_SR!B29</f>
        <v>C_ES-SH-SR_GAS04</v>
      </c>
      <c r="D106" s="137" t="str">
        <f>'Generalized Data'!$B$120&amp;" - "&amp;$C$94</f>
        <v>Natural gas boiler condensing  - Sport and Recreation</v>
      </c>
      <c r="E106" s="61" t="s">
        <v>30</v>
      </c>
      <c r="F106" s="61" t="s">
        <v>31</v>
      </c>
      <c r="G106" s="61"/>
      <c r="H106" s="64"/>
    </row>
    <row r="107" spans="1:8" x14ac:dyDescent="0.2">
      <c r="A107" s="97"/>
      <c r="B107" s="61" t="s">
        <v>439</v>
      </c>
      <c r="C107" s="61" t="str">
        <f>COM_SR!B30</f>
        <v>C_ES-SH-SR_GAS05</v>
      </c>
      <c r="D107" s="137" t="str">
        <f>'Generalized Data'!$B$121&amp;" - "&amp;$C$94</f>
        <v>Natural gas boiler condensing.HeatHotwater  - Sport and Recreation</v>
      </c>
      <c r="E107" s="61" t="s">
        <v>30</v>
      </c>
      <c r="F107" s="61" t="s">
        <v>31</v>
      </c>
      <c r="G107" s="61"/>
      <c r="H107" s="64"/>
    </row>
    <row r="108" spans="1:8" x14ac:dyDescent="0.2">
      <c r="A108" s="97"/>
      <c r="B108" s="61" t="s">
        <v>439</v>
      </c>
      <c r="C108" s="61" t="str">
        <f>COM_SR!B32</f>
        <v>C_ES-SH-SR_GAS06</v>
      </c>
      <c r="D108" s="137" t="str">
        <f>'Generalized Data'!$B$122&amp;" - "&amp;$C$94</f>
        <v>Air heat pump Natural gas HeatCool - Sport and Recreation</v>
      </c>
      <c r="E108" s="61" t="s">
        <v>30</v>
      </c>
      <c r="F108" s="61" t="s">
        <v>31</v>
      </c>
      <c r="G108" s="61"/>
      <c r="H108" s="64" t="s">
        <v>384</v>
      </c>
    </row>
    <row r="109" spans="1:8" x14ac:dyDescent="0.2">
      <c r="A109" s="97"/>
      <c r="B109" s="61" t="s">
        <v>439</v>
      </c>
      <c r="C109" s="61" t="str">
        <f>COM_SR!B34</f>
        <v>C_ES-SH-SR_GAS07</v>
      </c>
      <c r="D109" s="137" t="str">
        <f>'Generalized Data'!$B$123&amp;" - "&amp;$C$94</f>
        <v>Groundwater heat pump with natural gas.HeatCool - Sport and Recreation</v>
      </c>
      <c r="E109" s="61" t="s">
        <v>30</v>
      </c>
      <c r="F109" s="61" t="s">
        <v>31</v>
      </c>
      <c r="G109" s="61"/>
      <c r="H109" s="64" t="s">
        <v>384</v>
      </c>
    </row>
    <row r="110" spans="1:8" x14ac:dyDescent="0.2">
      <c r="A110" s="97"/>
      <c r="B110" s="61" t="s">
        <v>439</v>
      </c>
      <c r="C110" s="61" t="str">
        <f>COM_SR!B36</f>
        <v>C_ES-SH-SR_LPG01</v>
      </c>
      <c r="D110" s="137" t="str">
        <f>'Generalized Data'!$B$124&amp;" - "&amp;$C$94</f>
        <v>LPG boiler  - Sport and Recreation</v>
      </c>
      <c r="E110" s="61" t="s">
        <v>30</v>
      </c>
      <c r="F110" s="61" t="s">
        <v>31</v>
      </c>
      <c r="G110" s="61"/>
      <c r="H110" s="64"/>
    </row>
    <row r="111" spans="1:8" x14ac:dyDescent="0.2">
      <c r="A111" s="97"/>
      <c r="B111" s="61" t="s">
        <v>439</v>
      </c>
      <c r="C111" s="61" t="str">
        <f>COM_SR!B37</f>
        <v>C_ES-SH-SR_LPG02</v>
      </c>
      <c r="D111" s="137" t="str">
        <f>'Generalized Data'!$B$125&amp;" - "&amp;$C$94</f>
        <v>LPG boiler.HeatHotwater  - Sport and Recreation</v>
      </c>
      <c r="E111" s="61" t="s">
        <v>30</v>
      </c>
      <c r="F111" s="61" t="s">
        <v>31</v>
      </c>
      <c r="G111" s="61"/>
      <c r="H111" s="64"/>
    </row>
    <row r="112" spans="1:8" x14ac:dyDescent="0.2">
      <c r="A112" s="97"/>
      <c r="B112" s="61" t="s">
        <v>439</v>
      </c>
      <c r="C112" s="61" t="str">
        <f>COM_SR!B39</f>
        <v>C_ES-SH-SR_LPG03</v>
      </c>
      <c r="D112" s="137" t="str">
        <f>'Generalized Data'!$B$126&amp;" - "&amp;$C$94</f>
        <v>Air heat pump with LPG boiler.HeatCool - Sport and Recreation</v>
      </c>
      <c r="E112" s="61" t="s">
        <v>30</v>
      </c>
      <c r="F112" s="61" t="s">
        <v>31</v>
      </c>
      <c r="G112" s="61"/>
      <c r="H112" s="64" t="s">
        <v>384</v>
      </c>
    </row>
    <row r="113" spans="1:8" x14ac:dyDescent="0.2">
      <c r="A113" s="97"/>
      <c r="B113" s="61" t="s">
        <v>439</v>
      </c>
      <c r="C113" s="61" t="str">
        <f>COM_SR!B41</f>
        <v>C_ES-SH-SR_HET01</v>
      </c>
      <c r="D113" s="137" t="str">
        <f>'Generalized Data'!$B$127&amp;" - "&amp;$C$94</f>
        <v>District heat exchanger.HeatHotwater  - Sport and Recreation</v>
      </c>
      <c r="E113" s="61" t="s">
        <v>30</v>
      </c>
      <c r="F113" s="61" t="s">
        <v>31</v>
      </c>
      <c r="G113" s="61"/>
      <c r="H113" s="64"/>
    </row>
    <row r="114" spans="1:8" x14ac:dyDescent="0.2">
      <c r="A114" s="97"/>
      <c r="B114" s="61" t="s">
        <v>439</v>
      </c>
      <c r="C114" s="61" t="str">
        <f>COM_SR!B43</f>
        <v>C_ES-SH-SR_OIL01</v>
      </c>
      <c r="D114" s="137" t="str">
        <f>'Generalized Data'!$B$128&amp;" - "&amp;$C$94</f>
        <v>Oil boiler  - Sport and Recreation</v>
      </c>
      <c r="E114" s="61" t="s">
        <v>30</v>
      </c>
      <c r="F114" s="61" t="s">
        <v>31</v>
      </c>
      <c r="G114" s="61"/>
      <c r="H114" s="64"/>
    </row>
    <row r="115" spans="1:8" x14ac:dyDescent="0.2">
      <c r="B115" s="61" t="s">
        <v>439</v>
      </c>
      <c r="C115" s="61" t="str">
        <f>COM_SR!B44</f>
        <v>C_ES-SH-SR_OIL02</v>
      </c>
      <c r="D115" s="137" t="str">
        <f>'Generalized Data'!$B$129&amp;" - "&amp;$C$94</f>
        <v>Oil boiler.HeatHotwater  - Sport and Recreation</v>
      </c>
      <c r="E115" s="61" t="s">
        <v>30</v>
      </c>
      <c r="F115" s="61" t="s">
        <v>31</v>
      </c>
      <c r="G115" s="61"/>
      <c r="H115" s="64"/>
    </row>
    <row r="116" spans="1:8" x14ac:dyDescent="0.2">
      <c r="B116" s="61" t="s">
        <v>439</v>
      </c>
      <c r="C116" s="61" t="str">
        <f>COM_SR!B46</f>
        <v>C_ES-SH-SR_OIL03</v>
      </c>
      <c r="D116" s="137" t="str">
        <f>'Generalized Data'!$B$130&amp;" - "&amp;$C$94</f>
        <v>Oil boiler condensing.HeatHotwater - Sport and Recreation</v>
      </c>
      <c r="E116" s="61" t="s">
        <v>30</v>
      </c>
      <c r="F116" s="61" t="s">
        <v>31</v>
      </c>
      <c r="G116" s="61"/>
      <c r="H116" s="64"/>
    </row>
    <row r="117" spans="1:8" x14ac:dyDescent="0.2">
      <c r="B117" s="61" t="s">
        <v>439</v>
      </c>
      <c r="C117" s="61" t="str">
        <f>COM_SR!B48</f>
        <v>C_ES-SH-SR_ELC09</v>
      </c>
      <c r="D117" s="137" t="str">
        <f>'Generalized Data'!$B$131&amp;" - "&amp;$C$94</f>
        <v>Solar collector with electric backup.HeatHotwater  - Sport and Recreation</v>
      </c>
      <c r="E117" s="61" t="s">
        <v>30</v>
      </c>
      <c r="F117" s="61" t="s">
        <v>31</v>
      </c>
      <c r="G117" s="61"/>
      <c r="H117" s="64"/>
    </row>
    <row r="118" spans="1:8" x14ac:dyDescent="0.2">
      <c r="B118" s="61" t="s">
        <v>439</v>
      </c>
      <c r="C118" s="61" t="str">
        <f>COM_SR!B50</f>
        <v>C_ES-SH-SR_OIL04</v>
      </c>
      <c r="D118" s="137" t="str">
        <f>'Generalized Data'!$B$132&amp;" - "&amp;$C$94</f>
        <v>Solar collector with diesel backup.HeatHotwater  - Sport and Recreation</v>
      </c>
      <c r="E118" s="61" t="s">
        <v>30</v>
      </c>
      <c r="F118" s="61" t="s">
        <v>31</v>
      </c>
      <c r="G118" s="61"/>
      <c r="H118" s="64"/>
    </row>
    <row r="119" spans="1:8" x14ac:dyDescent="0.2">
      <c r="B119" s="61" t="s">
        <v>439</v>
      </c>
      <c r="C119" s="61" t="str">
        <f>COM_SR!B52</f>
        <v>C_ES-SH-SR_GAS08</v>
      </c>
      <c r="D119" s="137" t="str">
        <f>'Generalized Data'!$B$133&amp;" - "&amp;$C$94</f>
        <v>Solar collector with gas backup.HeatHotwater  - Sport and Recreation</v>
      </c>
      <c r="E119" s="61" t="s">
        <v>30</v>
      </c>
      <c r="F119" s="61" t="s">
        <v>31</v>
      </c>
      <c r="G119" s="61"/>
      <c r="H119" s="64"/>
    </row>
    <row r="120" spans="1:8" x14ac:dyDescent="0.2">
      <c r="B120" s="136" t="s">
        <v>439</v>
      </c>
      <c r="C120" s="136" t="str">
        <f>COM_SR!B54</f>
        <v>C_ES-SH-SR_BIO01</v>
      </c>
      <c r="D120" s="136" t="str">
        <f>'Generalized Data'!$B$134&amp;" - "&amp;$C$94</f>
        <v>Wood-pellets boiler.HeatHotwater  - Sport and Recreation</v>
      </c>
      <c r="E120" s="136" t="s">
        <v>30</v>
      </c>
      <c r="F120" s="136" t="s">
        <v>31</v>
      </c>
      <c r="G120" s="136"/>
      <c r="H120" s="104"/>
    </row>
    <row r="121" spans="1:8" x14ac:dyDescent="0.2">
      <c r="B121" s="61" t="s">
        <v>439</v>
      </c>
      <c r="C121" s="61" t="str">
        <f>COM_SR!B60</f>
        <v>C_ES-WH-SR_BIO01</v>
      </c>
      <c r="D121" s="61" t="str">
        <f>'Generalized Data'!$B$137&amp;" - "&amp;$C$94</f>
        <v>Wood pellets boiler water heater - Sport and Recreation</v>
      </c>
      <c r="E121" s="61" t="s">
        <v>30</v>
      </c>
      <c r="F121" s="61" t="s">
        <v>31</v>
      </c>
      <c r="G121" s="61"/>
      <c r="H121" s="61"/>
    </row>
    <row r="122" spans="1:8" x14ac:dyDescent="0.2">
      <c r="B122" s="61" t="s">
        <v>439</v>
      </c>
      <c r="C122" s="61" t="str">
        <f>COM_SR!B61</f>
        <v>C_ES-WH-SR_ELC01</v>
      </c>
      <c r="D122" s="137" t="str">
        <f>'Generalized Data'!$B$138&amp;" - "&amp;$C$94</f>
        <v>Electric boiler water heater resistance - Sport and Recreation</v>
      </c>
      <c r="E122" s="61" t="s">
        <v>30</v>
      </c>
      <c r="F122" s="61" t="s">
        <v>31</v>
      </c>
      <c r="G122" s="61"/>
      <c r="H122" s="61"/>
    </row>
    <row r="123" spans="1:8" x14ac:dyDescent="0.2">
      <c r="B123" s="61" t="s">
        <v>439</v>
      </c>
      <c r="C123" s="61" t="str">
        <f>COM_SR!B62</f>
        <v>C_ES-WH-SR_ELC02</v>
      </c>
      <c r="D123" s="137" t="str">
        <f>'Generalized Data'!$B$139&amp;" - "&amp;$C$94</f>
        <v>Electric heat pump water heater - Sport and Recreation</v>
      </c>
      <c r="E123" s="61" t="s">
        <v>30</v>
      </c>
      <c r="F123" s="61" t="s">
        <v>31</v>
      </c>
      <c r="G123" s="61"/>
      <c r="H123" s="61"/>
    </row>
    <row r="124" spans="1:8" x14ac:dyDescent="0.2">
      <c r="B124" s="61" t="s">
        <v>439</v>
      </c>
      <c r="C124" s="61" t="str">
        <f>COM_SR!B64</f>
        <v>C_ES-WH-SR_GAS01</v>
      </c>
      <c r="D124" s="137" t="str">
        <f>'Generalized Data'!$B$140&amp;" - "&amp;$C$94</f>
        <v>Natural gas boiler water heater - Sport and Recreation</v>
      </c>
      <c r="E124" s="61" t="s">
        <v>30</v>
      </c>
      <c r="F124" s="61" t="s">
        <v>31</v>
      </c>
      <c r="G124" s="61"/>
      <c r="H124" s="61"/>
    </row>
    <row r="125" spans="1:8" x14ac:dyDescent="0.2">
      <c r="B125" s="61" t="s">
        <v>439</v>
      </c>
      <c r="C125" s="61" t="str">
        <f>COM_SR!B65</f>
        <v>C_ES-WH-SR_GEO01</v>
      </c>
      <c r="D125" s="137" t="str">
        <f>'Generalized Data'!$B$141&amp;" - "&amp;$C$94</f>
        <v>Geo Heat Exchanger water heater - Sport and Recreation</v>
      </c>
      <c r="E125" s="61" t="s">
        <v>30</v>
      </c>
      <c r="F125" s="61" t="s">
        <v>31</v>
      </c>
      <c r="G125" s="61"/>
      <c r="H125" s="61"/>
    </row>
    <row r="126" spans="1:8" x14ac:dyDescent="0.2">
      <c r="B126" s="61" t="s">
        <v>439</v>
      </c>
      <c r="C126" s="61" t="str">
        <f>COM_SR!B66</f>
        <v>C_ES-WH-SR_LPG01</v>
      </c>
      <c r="D126" s="137" t="str">
        <f>'Generalized Data'!$B$142&amp;" - "&amp;$C$94</f>
        <v>LPG boiler water heater - Sport and Recreation</v>
      </c>
      <c r="E126" s="61" t="s">
        <v>30</v>
      </c>
      <c r="F126" s="61" t="s">
        <v>31</v>
      </c>
      <c r="G126" s="61"/>
      <c r="H126" s="61"/>
    </row>
    <row r="127" spans="1:8" x14ac:dyDescent="0.2">
      <c r="B127" s="61" t="s">
        <v>439</v>
      </c>
      <c r="C127" s="61" t="str">
        <f>COM_SR!B67</f>
        <v>C_ES-WH-SR_OIL01</v>
      </c>
      <c r="D127" s="137" t="str">
        <f>'Generalized Data'!$B$143&amp;" - "&amp;$C$94</f>
        <v>Oil boiler water heater - Sport and Recreation</v>
      </c>
      <c r="E127" s="61" t="s">
        <v>30</v>
      </c>
      <c r="F127" s="61" t="s">
        <v>31</v>
      </c>
      <c r="G127" s="61"/>
      <c r="H127" s="61"/>
    </row>
    <row r="128" spans="1:8" x14ac:dyDescent="0.2">
      <c r="B128" s="61" t="s">
        <v>439</v>
      </c>
      <c r="C128" s="61" t="str">
        <f>COM_SR!B68</f>
        <v>C_ES-WH-SR_ELC03</v>
      </c>
      <c r="D128" s="137" t="str">
        <f>'Generalized Data'!$B$144&amp;" - "&amp;$C$94</f>
        <v>Solar water heater with electricity backup - Sport and Recreation</v>
      </c>
      <c r="E128" s="61" t="s">
        <v>30</v>
      </c>
      <c r="F128" s="61" t="s">
        <v>31</v>
      </c>
      <c r="G128" s="61"/>
      <c r="H128" s="61"/>
    </row>
    <row r="129" spans="2:8" x14ac:dyDescent="0.2">
      <c r="B129" s="61" t="s">
        <v>439</v>
      </c>
      <c r="C129" s="61" t="str">
        <f>COM_SR!B70</f>
        <v>C_ES-WH-SR_OIL02</v>
      </c>
      <c r="D129" s="137" t="str">
        <f>'Generalized Data'!$B$145&amp;" - "&amp;$C$94</f>
        <v>Solar water heater with diesel backup - Sport and Recreation</v>
      </c>
      <c r="E129" s="61" t="s">
        <v>30</v>
      </c>
      <c r="F129" s="61" t="s">
        <v>31</v>
      </c>
      <c r="G129" s="61"/>
      <c r="H129" s="61"/>
    </row>
    <row r="130" spans="2:8" x14ac:dyDescent="0.2">
      <c r="B130" s="136" t="s">
        <v>439</v>
      </c>
      <c r="C130" s="136" t="str">
        <f>COM_SR!B72</f>
        <v>C_ES-WH-SR_GAS02</v>
      </c>
      <c r="D130" s="136" t="str">
        <f>'Generalized Data'!$B$146&amp;" - "&amp;$C$94</f>
        <v>Solar water heater with gas backup - Sport and Recreation</v>
      </c>
      <c r="E130" s="136" t="s">
        <v>30</v>
      </c>
      <c r="F130" s="136" t="s">
        <v>31</v>
      </c>
      <c r="G130" s="136"/>
      <c r="H130" s="136"/>
    </row>
    <row r="131" spans="2:8" x14ac:dyDescent="0.2">
      <c r="B131" s="61" t="s">
        <v>439</v>
      </c>
      <c r="C131" s="61" t="str">
        <f>COM_SR!B78</f>
        <v>C_ES-SC-SR_ELC01</v>
      </c>
      <c r="D131" s="61" t="str">
        <f>'Generalized Data'!$B$149&amp;" - "&amp;$C$94</f>
        <v>Room air-conditioner - Sport and Recreation</v>
      </c>
      <c r="E131" s="61" t="s">
        <v>30</v>
      </c>
      <c r="F131" s="61" t="s">
        <v>31</v>
      </c>
      <c r="G131" s="61"/>
      <c r="H131" s="61"/>
    </row>
    <row r="132" spans="2:8" x14ac:dyDescent="0.2">
      <c r="B132" s="61" t="s">
        <v>439</v>
      </c>
      <c r="C132" s="61" t="str">
        <f>COM_SR!B79</f>
        <v>C_ES-SC-SR_ELC02</v>
      </c>
      <c r="D132" s="137" t="str">
        <f>'Generalized Data'!$B$150&amp;" - "&amp;$C$94</f>
        <v>Air fans - Sport and Recreation</v>
      </c>
      <c r="E132" s="61" t="s">
        <v>30</v>
      </c>
      <c r="F132" s="61" t="s">
        <v>31</v>
      </c>
      <c r="G132" s="61"/>
      <c r="H132" s="61"/>
    </row>
    <row r="133" spans="2:8" x14ac:dyDescent="0.2">
      <c r="B133" s="61" t="s">
        <v>439</v>
      </c>
      <c r="C133" s="61" t="str">
        <f>COM_SR!B80</f>
        <v>C_ES-SC-SR_ELC03</v>
      </c>
      <c r="D133" s="137" t="str">
        <f>'Generalized Data'!$B$151&amp;" - "&amp;$C$94</f>
        <v>Roof-top central electric chiller - Sport and Recreation</v>
      </c>
      <c r="E133" s="61" t="s">
        <v>30</v>
      </c>
      <c r="F133" s="61" t="s">
        <v>31</v>
      </c>
      <c r="G133" s="61"/>
      <c r="H133" s="61"/>
    </row>
    <row r="134" spans="2:8" x14ac:dyDescent="0.2">
      <c r="B134" s="61" t="s">
        <v>439</v>
      </c>
      <c r="C134" s="61" t="str">
        <f>COM_SR!B81</f>
        <v>C_ES-SC-SR_ELC04</v>
      </c>
      <c r="D134" s="137" t="str">
        <f>'Generalized Data'!$B$152&amp;" - "&amp;$C$94</f>
        <v>Centralized electrical air conditioner - Sport and Recreation</v>
      </c>
      <c r="E134" s="61" t="s">
        <v>30</v>
      </c>
      <c r="F134" s="61" t="s">
        <v>31</v>
      </c>
      <c r="G134" s="61"/>
      <c r="H134" s="61"/>
    </row>
    <row r="135" spans="2:8" x14ac:dyDescent="0.2">
      <c r="B135" s="61" t="s">
        <v>439</v>
      </c>
      <c r="C135" s="61" t="str">
        <f>COM_SR!B82</f>
        <v>C_ES-SC-SR_ELC05</v>
      </c>
      <c r="D135" s="137" t="str">
        <f>'Generalized Data'!$B$153&amp;" - "&amp;$C$94</f>
        <v>Non-reversible electricity heat pump - Sport and Recreation</v>
      </c>
      <c r="E135" s="61" t="s">
        <v>30</v>
      </c>
      <c r="F135" s="61" t="s">
        <v>31</v>
      </c>
      <c r="G135" s="61"/>
      <c r="H135" s="61"/>
    </row>
    <row r="136" spans="2:8" x14ac:dyDescent="0.2">
      <c r="B136" s="61" t="s">
        <v>439</v>
      </c>
      <c r="C136" s="61" t="str">
        <f>COM_SR!B83</f>
        <v>C_ES-SC-SR_GAS01</v>
      </c>
      <c r="D136" s="137" t="str">
        <f>'Generalized Data'!$B$154&amp;" - "&amp;$C$94</f>
        <v>Centralized gas air conditioner - Sport and Recreation</v>
      </c>
      <c r="E136" s="61" t="s">
        <v>30</v>
      </c>
      <c r="F136" s="61" t="s">
        <v>31</v>
      </c>
      <c r="G136" s="61"/>
      <c r="H136" s="61"/>
    </row>
    <row r="137" spans="2:8" x14ac:dyDescent="0.2">
      <c r="B137" s="61" t="s">
        <v>439</v>
      </c>
      <c r="C137" s="61" t="str">
        <f>COM_SR!B84</f>
        <v>C_ES-SC-SR_GAS02</v>
      </c>
      <c r="D137" s="136" t="str">
        <f>'Generalized Data'!$B$155&amp;" - "&amp;$C$94</f>
        <v>Non reversible gas heat pump - Sport and Recreation</v>
      </c>
      <c r="E137" s="61" t="s">
        <v>30</v>
      </c>
      <c r="F137" s="61" t="s">
        <v>31</v>
      </c>
      <c r="G137" s="61"/>
      <c r="H137" s="61"/>
    </row>
    <row r="138" spans="2:8" ht="14.25" x14ac:dyDescent="0.2">
      <c r="B138" s="99" t="str">
        <f>"\I:"&amp;"COMSL"</f>
        <v>\I:COMSL</v>
      </c>
      <c r="C138" s="99" t="s">
        <v>476</v>
      </c>
      <c r="D138" s="99"/>
      <c r="E138" s="99"/>
      <c r="F138" s="99"/>
      <c r="G138" s="99"/>
      <c r="H138" s="99"/>
    </row>
    <row r="139" spans="2:8" x14ac:dyDescent="0.2">
      <c r="B139" s="61" t="s">
        <v>439</v>
      </c>
      <c r="C139" s="61" t="str">
        <f>COM_SL!B6</f>
        <v>C_ES-SH-SL_ELC01</v>
      </c>
      <c r="D139" s="61" t="str">
        <f>'Generalized Data'!$B$109&amp;" - "&amp;$C$138</f>
        <v>Electric radiators  - Shop – Large (shopping malls)</v>
      </c>
      <c r="E139" s="61" t="s">
        <v>30</v>
      </c>
      <c r="F139" s="61" t="s">
        <v>31</v>
      </c>
      <c r="G139" s="61"/>
      <c r="H139" s="64"/>
    </row>
    <row r="140" spans="2:8" x14ac:dyDescent="0.2">
      <c r="B140" s="61" t="s">
        <v>439</v>
      </c>
      <c r="C140" s="61" t="str">
        <f>COM_SL!B7</f>
        <v>C_ES-SH-SL_ELC02</v>
      </c>
      <c r="D140" s="137" t="str">
        <f>'Generalized Data'!$B$110&amp;" - "&amp;$C$138</f>
        <v>Electric boiler - Shop – Large (shopping malls)</v>
      </c>
      <c r="E140" s="61" t="s">
        <v>30</v>
      </c>
      <c r="F140" s="61" t="s">
        <v>31</v>
      </c>
      <c r="G140" s="61"/>
      <c r="H140" s="64"/>
    </row>
    <row r="141" spans="2:8" x14ac:dyDescent="0.2">
      <c r="B141" s="61" t="s">
        <v>439</v>
      </c>
      <c r="C141" s="61" t="str">
        <f>COM_SL!B8</f>
        <v>C_ES-SH-SL_ELC03</v>
      </c>
      <c r="D141" s="137" t="str">
        <f>'Generalized Data'!$B$111&amp;" - "&amp;$C$138</f>
        <v>Air heat pump Electric - Shop – Large (shopping malls)</v>
      </c>
      <c r="E141" s="61" t="s">
        <v>30</v>
      </c>
      <c r="F141" s="61" t="s">
        <v>31</v>
      </c>
      <c r="G141" s="61"/>
      <c r="H141" s="64" t="s">
        <v>384</v>
      </c>
    </row>
    <row r="142" spans="2:8" x14ac:dyDescent="0.2">
      <c r="B142" s="61" t="s">
        <v>439</v>
      </c>
      <c r="C142" s="61" t="str">
        <f>COM_SL!B10</f>
        <v>C_ES-SH-SL_ELC04</v>
      </c>
      <c r="D142" s="137" t="str">
        <f>'Generalized Data'!$B$112&amp;" - "&amp;$C$138</f>
        <v>Air heat pump Electric HeatCool - Shop – Large (shopping malls)</v>
      </c>
      <c r="E142" s="61" t="s">
        <v>30</v>
      </c>
      <c r="F142" s="61" t="s">
        <v>31</v>
      </c>
      <c r="G142" s="61"/>
      <c r="H142" s="64" t="s">
        <v>384</v>
      </c>
    </row>
    <row r="143" spans="2:8" x14ac:dyDescent="0.2">
      <c r="B143" s="61" t="s">
        <v>439</v>
      </c>
      <c r="C143" s="61" t="str">
        <f>COM_SL!B13</f>
        <v>C_ES-SH-SL_ELC05</v>
      </c>
      <c r="D143" s="137" t="str">
        <f>'Generalized Data'!$B$113&amp;" - "&amp;$C$138</f>
        <v>Adv Air heat pump Electric HeatCool - Shop – Large (shopping malls)</v>
      </c>
      <c r="E143" s="61" t="s">
        <v>30</v>
      </c>
      <c r="F143" s="61" t="s">
        <v>31</v>
      </c>
      <c r="G143" s="61"/>
      <c r="H143" s="64" t="s">
        <v>384</v>
      </c>
    </row>
    <row r="144" spans="2:8" x14ac:dyDescent="0.2">
      <c r="B144" s="61" t="s">
        <v>439</v>
      </c>
      <c r="C144" s="61" t="str">
        <f>COM_SL!B16</f>
        <v>C_ES-SH-SL_ELC06</v>
      </c>
      <c r="D144" s="137" t="str">
        <f>'Generalized Data'!$B$114&amp;" - "&amp;$C$138</f>
        <v>Ground heat pump Electric - Shop – Large (shopping malls)</v>
      </c>
      <c r="E144" s="61" t="s">
        <v>30</v>
      </c>
      <c r="F144" s="61" t="s">
        <v>31</v>
      </c>
      <c r="G144" s="61"/>
      <c r="H144" s="64" t="s">
        <v>384</v>
      </c>
    </row>
    <row r="145" spans="2:8" x14ac:dyDescent="0.2">
      <c r="B145" s="61" t="s">
        <v>439</v>
      </c>
      <c r="C145" s="61" t="str">
        <f>COM_SL!B19</f>
        <v>C_ES-SH-SL_ELC07</v>
      </c>
      <c r="D145" s="137" t="str">
        <f>'Generalized Data'!$B$115&amp;" - "&amp;$C$138</f>
        <v>Ground heat pump Electric HeatCool - Shop – Large (shopping malls)</v>
      </c>
      <c r="E145" s="61" t="s">
        <v>30</v>
      </c>
      <c r="F145" s="61" t="s">
        <v>31</v>
      </c>
      <c r="G145" s="61"/>
      <c r="H145" s="64" t="s">
        <v>384</v>
      </c>
    </row>
    <row r="146" spans="2:8" x14ac:dyDescent="0.2">
      <c r="B146" s="61" t="s">
        <v>439</v>
      </c>
      <c r="C146" s="61" t="str">
        <f>COM_SL!B22</f>
        <v>C_ES-SH-SL_ELC08</v>
      </c>
      <c r="D146" s="137" t="str">
        <f>'Generalized Data'!$B$116&amp;" - "&amp;$C$138</f>
        <v>Groundwater heat pump Electric Heat Cool - Shop – Large (shopping malls)</v>
      </c>
      <c r="E146" s="61" t="s">
        <v>30</v>
      </c>
      <c r="F146" s="61" t="s">
        <v>31</v>
      </c>
      <c r="G146" s="61"/>
      <c r="H146" s="64" t="s">
        <v>384</v>
      </c>
    </row>
    <row r="147" spans="2:8" x14ac:dyDescent="0.2">
      <c r="B147" s="61" t="s">
        <v>439</v>
      </c>
      <c r="C147" s="61" t="str">
        <f>COM_SL!B25</f>
        <v>C_ES-SH-SL_GAS01</v>
      </c>
      <c r="D147" s="137" t="str">
        <f>'Generalized Data'!$B$117&amp;" - "&amp;$C$138</f>
        <v>Natural gas stove  - Shop – Large (shopping malls)</v>
      </c>
      <c r="E147" s="61" t="s">
        <v>30</v>
      </c>
      <c r="F147" s="61" t="s">
        <v>31</v>
      </c>
      <c r="G147" s="61"/>
      <c r="H147" s="64"/>
    </row>
    <row r="148" spans="2:8" x14ac:dyDescent="0.2">
      <c r="B148" s="61" t="s">
        <v>439</v>
      </c>
      <c r="C148" s="61" t="str">
        <f>COM_SL!B26</f>
        <v>C_ES-SH-SL_GAS02</v>
      </c>
      <c r="D148" s="137" t="str">
        <f>'Generalized Data'!$B$118&amp;" - "&amp;$C$138</f>
        <v>Natural gas boiler  - Shop – Large (shopping malls)</v>
      </c>
      <c r="E148" s="61" t="s">
        <v>30</v>
      </c>
      <c r="F148" s="61" t="s">
        <v>31</v>
      </c>
      <c r="G148" s="61"/>
      <c r="H148" s="64"/>
    </row>
    <row r="149" spans="2:8" x14ac:dyDescent="0.2">
      <c r="B149" s="61" t="s">
        <v>439</v>
      </c>
      <c r="C149" s="61" t="str">
        <f>COM_SL!B27</f>
        <v>C_ES-SH-SL_GAS03</v>
      </c>
      <c r="D149" s="137" t="str">
        <f>'Generalized Data'!$B$119&amp;" - "&amp;$C$138</f>
        <v>Natural gas boiler.HeatHotwater  - Shop – Large (shopping malls)</v>
      </c>
      <c r="E149" s="61" t="s">
        <v>30</v>
      </c>
      <c r="F149" s="61" t="s">
        <v>31</v>
      </c>
      <c r="G149" s="61"/>
      <c r="H149" s="64"/>
    </row>
    <row r="150" spans="2:8" x14ac:dyDescent="0.2">
      <c r="B150" s="61" t="s">
        <v>439</v>
      </c>
      <c r="C150" s="61" t="str">
        <f>COM_SL!B29</f>
        <v>C_ES-SH-SL_GAS04</v>
      </c>
      <c r="D150" s="137" t="str">
        <f>'Generalized Data'!$B$120&amp;" - "&amp;$C$138</f>
        <v>Natural gas boiler condensing  - Shop – Large (shopping malls)</v>
      </c>
      <c r="E150" s="61" t="s">
        <v>30</v>
      </c>
      <c r="F150" s="61" t="s">
        <v>31</v>
      </c>
      <c r="G150" s="61"/>
      <c r="H150" s="64"/>
    </row>
    <row r="151" spans="2:8" x14ac:dyDescent="0.2">
      <c r="B151" s="61" t="s">
        <v>439</v>
      </c>
      <c r="C151" s="61" t="str">
        <f>COM_SL!B30</f>
        <v>C_ES-SH-SL_GAS05</v>
      </c>
      <c r="D151" s="137" t="str">
        <f>'Generalized Data'!$B$121&amp;" - "&amp;$C$138</f>
        <v>Natural gas boiler condensing.HeatHotwater  - Shop – Large (shopping malls)</v>
      </c>
      <c r="E151" s="61" t="s">
        <v>30</v>
      </c>
      <c r="F151" s="61" t="s">
        <v>31</v>
      </c>
      <c r="G151" s="61"/>
      <c r="H151" s="64"/>
    </row>
    <row r="152" spans="2:8" x14ac:dyDescent="0.2">
      <c r="B152" s="61" t="s">
        <v>439</v>
      </c>
      <c r="C152" s="61" t="str">
        <f>COM_SL!B32</f>
        <v>C_ES-SH-SL_GAS06</v>
      </c>
      <c r="D152" s="137" t="str">
        <f>'Generalized Data'!$B$122&amp;" - "&amp;$C$138</f>
        <v>Air heat pump Natural gas HeatCool - Shop – Large (shopping malls)</v>
      </c>
      <c r="E152" s="61" t="s">
        <v>30</v>
      </c>
      <c r="F152" s="61" t="s">
        <v>31</v>
      </c>
      <c r="G152" s="61"/>
      <c r="H152" s="64" t="s">
        <v>384</v>
      </c>
    </row>
    <row r="153" spans="2:8" x14ac:dyDescent="0.2">
      <c r="B153" s="61" t="s">
        <v>439</v>
      </c>
      <c r="C153" s="61" t="str">
        <f>COM_SL!B34</f>
        <v>C_ES-SH-SL_GAS07</v>
      </c>
      <c r="D153" s="137" t="str">
        <f>'Generalized Data'!$B$123&amp;" - "&amp;$C$138</f>
        <v>Groundwater heat pump with natural gas.HeatCool - Shop – Large (shopping malls)</v>
      </c>
      <c r="E153" s="61" t="s">
        <v>30</v>
      </c>
      <c r="F153" s="61" t="s">
        <v>31</v>
      </c>
      <c r="G153" s="61"/>
      <c r="H153" s="64" t="s">
        <v>384</v>
      </c>
    </row>
    <row r="154" spans="2:8" x14ac:dyDescent="0.2">
      <c r="B154" s="61" t="s">
        <v>439</v>
      </c>
      <c r="C154" s="61" t="str">
        <f>COM_SL!B36</f>
        <v>C_ES-SH-SL_LPG01</v>
      </c>
      <c r="D154" s="137" t="str">
        <f>'Generalized Data'!$B$124&amp;" - "&amp;$C$138</f>
        <v>LPG boiler  - Shop – Large (shopping malls)</v>
      </c>
      <c r="E154" s="61" t="s">
        <v>30</v>
      </c>
      <c r="F154" s="61" t="s">
        <v>31</v>
      </c>
      <c r="G154" s="61"/>
      <c r="H154" s="64"/>
    </row>
    <row r="155" spans="2:8" x14ac:dyDescent="0.2">
      <c r="B155" s="61" t="s">
        <v>439</v>
      </c>
      <c r="C155" s="61" t="str">
        <f>COM_SL!B37</f>
        <v>C_ES-SH-SL_LPG02</v>
      </c>
      <c r="D155" s="137" t="str">
        <f>'Generalized Data'!$B$125&amp;" - "&amp;$C$138</f>
        <v>LPG boiler.HeatHotwater  - Shop – Large (shopping malls)</v>
      </c>
      <c r="E155" s="61" t="s">
        <v>30</v>
      </c>
      <c r="F155" s="61" t="s">
        <v>31</v>
      </c>
      <c r="G155" s="61"/>
      <c r="H155" s="64"/>
    </row>
    <row r="156" spans="2:8" x14ac:dyDescent="0.2">
      <c r="B156" s="61" t="s">
        <v>439</v>
      </c>
      <c r="C156" s="61" t="str">
        <f>COM_SL!B39</f>
        <v>C_ES-SH-SL_LPG03</v>
      </c>
      <c r="D156" s="137" t="str">
        <f>'Generalized Data'!$B$126&amp;" - "&amp;$C$138</f>
        <v>Air heat pump with LPG boiler.HeatCool - Shop – Large (shopping malls)</v>
      </c>
      <c r="E156" s="61" t="s">
        <v>30</v>
      </c>
      <c r="F156" s="61" t="s">
        <v>31</v>
      </c>
      <c r="G156" s="61"/>
      <c r="H156" s="64" t="s">
        <v>384</v>
      </c>
    </row>
    <row r="157" spans="2:8" x14ac:dyDescent="0.2">
      <c r="B157" s="61" t="s">
        <v>439</v>
      </c>
      <c r="C157" s="61" t="str">
        <f>COM_SL!B41</f>
        <v>C_ES-SH-SL_HET01</v>
      </c>
      <c r="D157" s="137" t="str">
        <f>'Generalized Data'!$B$127&amp;" - "&amp;$C$138</f>
        <v>District heat exchanger.HeatHotwater  - Shop – Large (shopping malls)</v>
      </c>
      <c r="E157" s="61" t="s">
        <v>30</v>
      </c>
      <c r="F157" s="61" t="s">
        <v>31</v>
      </c>
      <c r="G157" s="61"/>
      <c r="H157" s="64"/>
    </row>
    <row r="158" spans="2:8" x14ac:dyDescent="0.2">
      <c r="B158" s="61" t="s">
        <v>439</v>
      </c>
      <c r="C158" s="61" t="str">
        <f>COM_SL!B43</f>
        <v>C_ES-SH-SL_OIL01</v>
      </c>
      <c r="D158" s="137" t="str">
        <f>'Generalized Data'!$B$128&amp;" - "&amp;$C$138</f>
        <v>Oil boiler  - Shop – Large (shopping malls)</v>
      </c>
      <c r="E158" s="61" t="s">
        <v>30</v>
      </c>
      <c r="F158" s="61" t="s">
        <v>31</v>
      </c>
      <c r="G158" s="61"/>
      <c r="H158" s="64"/>
    </row>
    <row r="159" spans="2:8" x14ac:dyDescent="0.2">
      <c r="B159" s="61" t="s">
        <v>439</v>
      </c>
      <c r="C159" s="61" t="str">
        <f>COM_SL!B44</f>
        <v>C_ES-SH-SL_OIL02</v>
      </c>
      <c r="D159" s="137" t="str">
        <f>'Generalized Data'!$B$129&amp;" - "&amp;$C$138</f>
        <v>Oil boiler.HeatHotwater  - Shop – Large (shopping malls)</v>
      </c>
      <c r="E159" s="61" t="s">
        <v>30</v>
      </c>
      <c r="F159" s="61" t="s">
        <v>31</v>
      </c>
      <c r="G159" s="61"/>
      <c r="H159" s="64"/>
    </row>
    <row r="160" spans="2:8" x14ac:dyDescent="0.2">
      <c r="B160" s="61" t="s">
        <v>439</v>
      </c>
      <c r="C160" s="61" t="str">
        <f>COM_SL!B46</f>
        <v>C_ES-SH-SL_OIL03</v>
      </c>
      <c r="D160" s="137" t="str">
        <f>'Generalized Data'!$B$130&amp;" - "&amp;$C$138</f>
        <v>Oil boiler condensing.HeatHotwater - Shop – Large (shopping malls)</v>
      </c>
      <c r="E160" s="61" t="s">
        <v>30</v>
      </c>
      <c r="F160" s="61" t="s">
        <v>31</v>
      </c>
      <c r="G160" s="61"/>
      <c r="H160" s="64"/>
    </row>
    <row r="161" spans="2:8" x14ac:dyDescent="0.2">
      <c r="B161" s="61" t="s">
        <v>439</v>
      </c>
      <c r="C161" s="61" t="str">
        <f>COM_SL!B48</f>
        <v>C_ES-SH-SL_ELC09</v>
      </c>
      <c r="D161" s="137" t="str">
        <f>'Generalized Data'!$B$131&amp;" - "&amp;$C$138</f>
        <v>Solar collector with electric backup.HeatHotwater  - Shop – Large (shopping malls)</v>
      </c>
      <c r="E161" s="61" t="s">
        <v>30</v>
      </c>
      <c r="F161" s="61" t="s">
        <v>31</v>
      </c>
      <c r="G161" s="61"/>
      <c r="H161" s="64"/>
    </row>
    <row r="162" spans="2:8" x14ac:dyDescent="0.2">
      <c r="B162" s="61" t="s">
        <v>439</v>
      </c>
      <c r="C162" s="61" t="str">
        <f>COM_SL!B50</f>
        <v>C_ES-SH-SL_OIL04</v>
      </c>
      <c r="D162" s="137" t="str">
        <f>'Generalized Data'!$B$132&amp;" - "&amp;$C$138</f>
        <v>Solar collector with diesel backup.HeatHotwater  - Shop – Large (shopping malls)</v>
      </c>
      <c r="E162" s="61" t="s">
        <v>30</v>
      </c>
      <c r="F162" s="61" t="s">
        <v>31</v>
      </c>
      <c r="G162" s="61"/>
      <c r="H162" s="64"/>
    </row>
    <row r="163" spans="2:8" x14ac:dyDescent="0.2">
      <c r="B163" s="61" t="s">
        <v>439</v>
      </c>
      <c r="C163" s="61" t="str">
        <f>COM_SL!B52</f>
        <v>C_ES-SH-SL_GAS08</v>
      </c>
      <c r="D163" s="137" t="str">
        <f>'Generalized Data'!$B$133&amp;" - "&amp;$C$138</f>
        <v>Solar collector with gas backup.HeatHotwater  - Shop – Large (shopping malls)</v>
      </c>
      <c r="E163" s="61" t="s">
        <v>30</v>
      </c>
      <c r="F163" s="61" t="s">
        <v>31</v>
      </c>
      <c r="G163" s="61"/>
      <c r="H163" s="64"/>
    </row>
    <row r="164" spans="2:8" x14ac:dyDescent="0.2">
      <c r="B164" s="136" t="s">
        <v>439</v>
      </c>
      <c r="C164" s="136" t="str">
        <f>COM_SL!B54</f>
        <v>C_ES-SH-SL_BIO01</v>
      </c>
      <c r="D164" s="136" t="str">
        <f>'Generalized Data'!$B$134&amp;" - "&amp;$C$138</f>
        <v>Wood-pellets boiler.HeatHotwater  - Shop – Large (shopping malls)</v>
      </c>
      <c r="E164" s="136" t="s">
        <v>30</v>
      </c>
      <c r="F164" s="136" t="s">
        <v>31</v>
      </c>
      <c r="G164" s="136"/>
      <c r="H164" s="104"/>
    </row>
    <row r="165" spans="2:8" x14ac:dyDescent="0.2">
      <c r="B165" s="61" t="s">
        <v>439</v>
      </c>
      <c r="C165" s="61" t="str">
        <f>COM_SL!B60</f>
        <v>C_ES-WH-SL_BIO01</v>
      </c>
      <c r="D165" s="61" t="str">
        <f>'Generalized Data'!$B$137&amp;" - "&amp;$C$138</f>
        <v>Wood pellets boiler water heater - Shop – Large (shopping malls)</v>
      </c>
      <c r="E165" s="61" t="s">
        <v>30</v>
      </c>
      <c r="F165" s="61" t="s">
        <v>31</v>
      </c>
      <c r="G165" s="61"/>
      <c r="H165" s="61"/>
    </row>
    <row r="166" spans="2:8" x14ac:dyDescent="0.2">
      <c r="B166" s="61" t="s">
        <v>439</v>
      </c>
      <c r="C166" s="61" t="str">
        <f>COM_SL!B61</f>
        <v>C_ES-WH-SL_ELC01</v>
      </c>
      <c r="D166" s="137" t="str">
        <f>'Generalized Data'!$B$138&amp;" - "&amp;$C$138</f>
        <v>Electric boiler water heater resistance - Shop – Large (shopping malls)</v>
      </c>
      <c r="E166" s="61" t="s">
        <v>30</v>
      </c>
      <c r="F166" s="61" t="s">
        <v>31</v>
      </c>
      <c r="G166" s="61"/>
      <c r="H166" s="61"/>
    </row>
    <row r="167" spans="2:8" x14ac:dyDescent="0.2">
      <c r="B167" s="61" t="s">
        <v>439</v>
      </c>
      <c r="C167" s="61" t="str">
        <f>COM_SL!B62</f>
        <v>C_ES-WH-SL_ELC02</v>
      </c>
      <c r="D167" s="137" t="str">
        <f>'Generalized Data'!$B$139&amp;" - "&amp;$C$138</f>
        <v>Electric heat pump water heater - Shop – Large (shopping malls)</v>
      </c>
      <c r="E167" s="61" t="s">
        <v>30</v>
      </c>
      <c r="F167" s="61" t="s">
        <v>31</v>
      </c>
      <c r="G167" s="61"/>
      <c r="H167" s="61"/>
    </row>
    <row r="168" spans="2:8" x14ac:dyDescent="0.2">
      <c r="B168" s="61" t="s">
        <v>439</v>
      </c>
      <c r="C168" s="61" t="str">
        <f>COM_SL!B64</f>
        <v>C_ES-WH-SL_GAS01</v>
      </c>
      <c r="D168" s="137" t="str">
        <f>'Generalized Data'!$B$140&amp;" - "&amp;$C$138</f>
        <v>Natural gas boiler water heater - Shop – Large (shopping malls)</v>
      </c>
      <c r="E168" s="61" t="s">
        <v>30</v>
      </c>
      <c r="F168" s="61" t="s">
        <v>31</v>
      </c>
      <c r="G168" s="61"/>
      <c r="H168" s="61"/>
    </row>
    <row r="169" spans="2:8" x14ac:dyDescent="0.2">
      <c r="B169" s="61" t="s">
        <v>439</v>
      </c>
      <c r="C169" s="61" t="str">
        <f>COM_SL!B65</f>
        <v>C_ES-WH-SL_GEO01</v>
      </c>
      <c r="D169" s="137" t="str">
        <f>'Generalized Data'!$B$141&amp;" - "&amp;$C$138</f>
        <v>Geo Heat Exchanger water heater - Shop – Large (shopping malls)</v>
      </c>
      <c r="E169" s="61" t="s">
        <v>30</v>
      </c>
      <c r="F169" s="61" t="s">
        <v>31</v>
      </c>
      <c r="G169" s="61"/>
      <c r="H169" s="61"/>
    </row>
    <row r="170" spans="2:8" x14ac:dyDescent="0.2">
      <c r="B170" s="61" t="s">
        <v>439</v>
      </c>
      <c r="C170" s="61" t="str">
        <f>COM_SL!B66</f>
        <v>C_ES-WH-SL_LPG01</v>
      </c>
      <c r="D170" s="137" t="str">
        <f>'Generalized Data'!$B$142&amp;" - "&amp;$C$138</f>
        <v>LPG boiler water heater - Shop – Large (shopping malls)</v>
      </c>
      <c r="E170" s="61" t="s">
        <v>30</v>
      </c>
      <c r="F170" s="61" t="s">
        <v>31</v>
      </c>
      <c r="G170" s="61"/>
      <c r="H170" s="61"/>
    </row>
    <row r="171" spans="2:8" x14ac:dyDescent="0.2">
      <c r="B171" s="61" t="s">
        <v>439</v>
      </c>
      <c r="C171" s="61" t="str">
        <f>COM_SL!B67</f>
        <v>C_ES-WH-SL_OIL01</v>
      </c>
      <c r="D171" s="137" t="str">
        <f>'Generalized Data'!$B$143&amp;" - "&amp;$C$138</f>
        <v>Oil boiler water heater - Shop – Large (shopping malls)</v>
      </c>
      <c r="E171" s="61" t="s">
        <v>30</v>
      </c>
      <c r="F171" s="61" t="s">
        <v>31</v>
      </c>
      <c r="G171" s="61"/>
      <c r="H171" s="61"/>
    </row>
    <row r="172" spans="2:8" x14ac:dyDescent="0.2">
      <c r="B172" s="61" t="s">
        <v>439</v>
      </c>
      <c r="C172" s="61" t="str">
        <f>COM_SL!B68</f>
        <v>C_ES-WH-SL_ELC03</v>
      </c>
      <c r="D172" s="137" t="str">
        <f>'Generalized Data'!$B$144&amp;" - "&amp;$C$138</f>
        <v>Solar water heater with electricity backup - Shop – Large (shopping malls)</v>
      </c>
      <c r="E172" s="61" t="s">
        <v>30</v>
      </c>
      <c r="F172" s="61" t="s">
        <v>31</v>
      </c>
      <c r="G172" s="61"/>
      <c r="H172" s="61"/>
    </row>
    <row r="173" spans="2:8" x14ac:dyDescent="0.2">
      <c r="B173" s="61" t="s">
        <v>439</v>
      </c>
      <c r="C173" s="61" t="str">
        <f>COM_SL!B70</f>
        <v>C_ES-WH-SL_OIL02</v>
      </c>
      <c r="D173" s="137" t="str">
        <f>'Generalized Data'!$B$145&amp;" - "&amp;$C$138</f>
        <v>Solar water heater with diesel backup - Shop – Large (shopping malls)</v>
      </c>
      <c r="E173" s="61" t="s">
        <v>30</v>
      </c>
      <c r="F173" s="61" t="s">
        <v>31</v>
      </c>
      <c r="G173" s="61"/>
      <c r="H173" s="61"/>
    </row>
    <row r="174" spans="2:8" x14ac:dyDescent="0.2">
      <c r="B174" s="136" t="s">
        <v>439</v>
      </c>
      <c r="C174" s="136" t="str">
        <f>COM_SL!B72</f>
        <v>C_ES-WH-SL_GAS02</v>
      </c>
      <c r="D174" s="136" t="str">
        <f>'Generalized Data'!$B$146&amp;" - "&amp;$C$138</f>
        <v>Solar water heater with gas backup - Shop – Large (shopping malls)</v>
      </c>
      <c r="E174" s="136" t="s">
        <v>30</v>
      </c>
      <c r="F174" s="136" t="s">
        <v>31</v>
      </c>
      <c r="G174" s="136"/>
      <c r="H174" s="136"/>
    </row>
    <row r="175" spans="2:8" x14ac:dyDescent="0.2">
      <c r="B175" s="61" t="s">
        <v>439</v>
      </c>
      <c r="C175" s="61" t="str">
        <f>COM_SL!B78</f>
        <v>C_ES-SC-SL_ELC01</v>
      </c>
      <c r="D175" s="61" t="str">
        <f>'Generalized Data'!$B$149&amp;" - "&amp;$C$138</f>
        <v>Room air-conditioner - Shop – Large (shopping malls)</v>
      </c>
      <c r="E175" s="61" t="s">
        <v>30</v>
      </c>
      <c r="F175" s="61" t="s">
        <v>31</v>
      </c>
      <c r="G175" s="61"/>
      <c r="H175" s="61"/>
    </row>
    <row r="176" spans="2:8" x14ac:dyDescent="0.2">
      <c r="B176" s="61" t="s">
        <v>439</v>
      </c>
      <c r="C176" s="61" t="str">
        <f>COM_SL!B79</f>
        <v>C_ES-SC-SL_ELC02</v>
      </c>
      <c r="D176" s="137" t="str">
        <f>'Generalized Data'!$B$150&amp;" - "&amp;$C$138</f>
        <v>Air fans - Shop – Large (shopping malls)</v>
      </c>
      <c r="E176" s="61" t="s">
        <v>30</v>
      </c>
      <c r="F176" s="61" t="s">
        <v>31</v>
      </c>
      <c r="G176" s="61"/>
      <c r="H176" s="61"/>
    </row>
    <row r="177" spans="2:8" x14ac:dyDescent="0.2">
      <c r="B177" s="61" t="s">
        <v>439</v>
      </c>
      <c r="C177" s="61" t="str">
        <f>COM_SL!B80</f>
        <v>C_ES-SC-SL_ELC03</v>
      </c>
      <c r="D177" s="137" t="str">
        <f>'Generalized Data'!$B$151&amp;" - "&amp;$C$138</f>
        <v>Roof-top central electric chiller - Shop – Large (shopping malls)</v>
      </c>
      <c r="E177" s="61" t="s">
        <v>30</v>
      </c>
      <c r="F177" s="61" t="s">
        <v>31</v>
      </c>
      <c r="G177" s="61"/>
      <c r="H177" s="61"/>
    </row>
    <row r="178" spans="2:8" x14ac:dyDescent="0.2">
      <c r="B178" s="61" t="s">
        <v>439</v>
      </c>
      <c r="C178" s="61" t="str">
        <f>COM_SL!B81</f>
        <v>C_ES-SC-SL_ELC04</v>
      </c>
      <c r="D178" s="137" t="str">
        <f>'Generalized Data'!$B$152&amp;" - "&amp;$C$138</f>
        <v>Centralized electrical air conditioner - Shop – Large (shopping malls)</v>
      </c>
      <c r="E178" s="61" t="s">
        <v>30</v>
      </c>
      <c r="F178" s="61" t="s">
        <v>31</v>
      </c>
      <c r="G178" s="61"/>
      <c r="H178" s="61"/>
    </row>
    <row r="179" spans="2:8" x14ac:dyDescent="0.2">
      <c r="B179" s="61" t="s">
        <v>439</v>
      </c>
      <c r="C179" s="61" t="str">
        <f>COM_SL!B82</f>
        <v>C_ES-SC-SL_ELC05</v>
      </c>
      <c r="D179" s="137" t="str">
        <f>'Generalized Data'!$B$153&amp;" - "&amp;$C$138</f>
        <v>Non-reversible electricity heat pump - Shop – Large (shopping malls)</v>
      </c>
      <c r="E179" s="61" t="s">
        <v>30</v>
      </c>
      <c r="F179" s="61" t="s">
        <v>31</v>
      </c>
      <c r="G179" s="61"/>
      <c r="H179" s="61"/>
    </row>
    <row r="180" spans="2:8" x14ac:dyDescent="0.2">
      <c r="B180" s="61" t="s">
        <v>439</v>
      </c>
      <c r="C180" s="61" t="str">
        <f>COM_SL!B83</f>
        <v>C_ES-SC-SL_GAS01</v>
      </c>
      <c r="D180" s="137" t="str">
        <f>'Generalized Data'!$B$154&amp;" - "&amp;$C$138</f>
        <v>Centralized gas air conditioner - Shop – Large (shopping malls)</v>
      </c>
      <c r="E180" s="61" t="s">
        <v>30</v>
      </c>
      <c r="F180" s="61" t="s">
        <v>31</v>
      </c>
      <c r="G180" s="61"/>
      <c r="H180" s="61"/>
    </row>
    <row r="181" spans="2:8" x14ac:dyDescent="0.2">
      <c r="B181" s="61" t="s">
        <v>439</v>
      </c>
      <c r="C181" s="61" t="str">
        <f>COM_SL!B84</f>
        <v>C_ES-SC-SL_GAS02</v>
      </c>
      <c r="D181" s="136" t="str">
        <f>'Generalized Data'!$B$155&amp;" - "&amp;$C$138</f>
        <v>Non reversible gas heat pump - Shop – Large (shopping malls)</v>
      </c>
      <c r="E181" s="61" t="s">
        <v>30</v>
      </c>
      <c r="F181" s="61" t="s">
        <v>31</v>
      </c>
      <c r="G181" s="61"/>
      <c r="H181" s="61"/>
    </row>
    <row r="182" spans="2:8" ht="14.25" x14ac:dyDescent="0.2">
      <c r="B182" s="99" t="str">
        <f>"\I:"&amp;"COMSS"</f>
        <v>\I:COMSS</v>
      </c>
      <c r="C182" s="99" t="s">
        <v>477</v>
      </c>
      <c r="D182" s="99"/>
      <c r="E182" s="99"/>
      <c r="F182" s="99"/>
      <c r="G182" s="99"/>
      <c r="H182" s="99"/>
    </row>
    <row r="183" spans="2:8" x14ac:dyDescent="0.2">
      <c r="B183" s="61" t="s">
        <v>439</v>
      </c>
      <c r="C183" s="61" t="str">
        <f>COM_SS!B6</f>
        <v>C_ES-SH-SS_ELC01</v>
      </c>
      <c r="D183" s="61" t="str">
        <f>'Generalized Data'!$B$109&amp;" - "&amp;$C$182</f>
        <v>Electric radiators  - Shop – Small (shops)</v>
      </c>
      <c r="E183" s="61" t="s">
        <v>30</v>
      </c>
      <c r="F183" s="61" t="s">
        <v>31</v>
      </c>
      <c r="G183" s="61"/>
      <c r="H183" s="64"/>
    </row>
    <row r="184" spans="2:8" x14ac:dyDescent="0.2">
      <c r="B184" s="61" t="s">
        <v>439</v>
      </c>
      <c r="C184" s="61" t="str">
        <f>COM_SS!B7</f>
        <v>C_ES-SH-SS_ELC02</v>
      </c>
      <c r="D184" s="137" t="str">
        <f>'Generalized Data'!$B$110&amp;" - "&amp;$C$182</f>
        <v>Electric boiler - Shop – Small (shops)</v>
      </c>
      <c r="E184" s="61" t="s">
        <v>30</v>
      </c>
      <c r="F184" s="61" t="s">
        <v>31</v>
      </c>
      <c r="G184" s="61"/>
      <c r="H184" s="64"/>
    </row>
    <row r="185" spans="2:8" x14ac:dyDescent="0.2">
      <c r="B185" s="61" t="s">
        <v>439</v>
      </c>
      <c r="C185" s="61" t="str">
        <f>COM_SS!B8</f>
        <v>C_ES-SH-SS_ELC03</v>
      </c>
      <c r="D185" s="137" t="str">
        <f>'Generalized Data'!$B$111&amp;" - "&amp;$C$182</f>
        <v>Air heat pump Electric - Shop – Small (shops)</v>
      </c>
      <c r="E185" s="61" t="s">
        <v>30</v>
      </c>
      <c r="F185" s="61" t="s">
        <v>31</v>
      </c>
      <c r="G185" s="61"/>
      <c r="H185" s="64" t="s">
        <v>384</v>
      </c>
    </row>
    <row r="186" spans="2:8" x14ac:dyDescent="0.2">
      <c r="B186" s="61" t="s">
        <v>439</v>
      </c>
      <c r="C186" s="61" t="str">
        <f>COM_SS!B10</f>
        <v>C_ES-SH-SS_ELC04</v>
      </c>
      <c r="D186" s="137" t="str">
        <f>'Generalized Data'!$B$112&amp;" - "&amp;$C$182</f>
        <v>Air heat pump Electric HeatCool - Shop – Small (shops)</v>
      </c>
      <c r="E186" s="61" t="s">
        <v>30</v>
      </c>
      <c r="F186" s="61" t="s">
        <v>31</v>
      </c>
      <c r="G186" s="61"/>
      <c r="H186" s="64" t="s">
        <v>384</v>
      </c>
    </row>
    <row r="187" spans="2:8" x14ac:dyDescent="0.2">
      <c r="B187" s="61" t="s">
        <v>439</v>
      </c>
      <c r="C187" s="61" t="str">
        <f>COM_SS!B13</f>
        <v>C_ES-SH-SS_ELC05</v>
      </c>
      <c r="D187" s="137" t="str">
        <f>'Generalized Data'!$B$113&amp;" - "&amp;$C$182</f>
        <v>Adv Air heat pump Electric HeatCool - Shop – Small (shops)</v>
      </c>
      <c r="E187" s="61" t="s">
        <v>30</v>
      </c>
      <c r="F187" s="61" t="s">
        <v>31</v>
      </c>
      <c r="G187" s="61"/>
      <c r="H187" s="64" t="s">
        <v>384</v>
      </c>
    </row>
    <row r="188" spans="2:8" x14ac:dyDescent="0.2">
      <c r="B188" s="61" t="s">
        <v>439</v>
      </c>
      <c r="C188" s="61" t="str">
        <f>COM_SS!B16</f>
        <v>C_ES-SH-SS_ELC06</v>
      </c>
      <c r="D188" s="137" t="str">
        <f>'Generalized Data'!$B$114&amp;" - "&amp;$C$182</f>
        <v>Ground heat pump Electric - Shop – Small (shops)</v>
      </c>
      <c r="E188" s="61" t="s">
        <v>30</v>
      </c>
      <c r="F188" s="61" t="s">
        <v>31</v>
      </c>
      <c r="G188" s="61"/>
      <c r="H188" s="64" t="s">
        <v>384</v>
      </c>
    </row>
    <row r="189" spans="2:8" x14ac:dyDescent="0.2">
      <c r="B189" s="61" t="s">
        <v>439</v>
      </c>
      <c r="C189" s="61" t="str">
        <f>COM_SS!B19</f>
        <v>C_ES-SH-SS_ELC07</v>
      </c>
      <c r="D189" s="137" t="str">
        <f>'Generalized Data'!$B$115&amp;" - "&amp;$C$182</f>
        <v>Ground heat pump Electric HeatCool - Shop – Small (shops)</v>
      </c>
      <c r="E189" s="61" t="s">
        <v>30</v>
      </c>
      <c r="F189" s="61" t="s">
        <v>31</v>
      </c>
      <c r="G189" s="61"/>
      <c r="H189" s="64" t="s">
        <v>384</v>
      </c>
    </row>
    <row r="190" spans="2:8" x14ac:dyDescent="0.2">
      <c r="B190" s="61" t="s">
        <v>439</v>
      </c>
      <c r="C190" s="61" t="str">
        <f>COM_SS!B22</f>
        <v>C_ES-SH-SS_ELC08</v>
      </c>
      <c r="D190" s="137" t="str">
        <f>'Generalized Data'!$B$116&amp;" - "&amp;$C$182</f>
        <v>Groundwater heat pump Electric Heat Cool - Shop – Small (shops)</v>
      </c>
      <c r="E190" s="61" t="s">
        <v>30</v>
      </c>
      <c r="F190" s="61" t="s">
        <v>31</v>
      </c>
      <c r="G190" s="61"/>
      <c r="H190" s="64" t="s">
        <v>384</v>
      </c>
    </row>
    <row r="191" spans="2:8" x14ac:dyDescent="0.2">
      <c r="B191" s="61" t="s">
        <v>439</v>
      </c>
      <c r="C191" s="61" t="str">
        <f>COM_SS!B25</f>
        <v>C_ES-SH-SS_GAS01</v>
      </c>
      <c r="D191" s="137" t="str">
        <f>'Generalized Data'!$B$117&amp;" - "&amp;$C$182</f>
        <v>Natural gas stove  - Shop – Small (shops)</v>
      </c>
      <c r="E191" s="61" t="s">
        <v>30</v>
      </c>
      <c r="F191" s="61" t="s">
        <v>31</v>
      </c>
      <c r="G191" s="61"/>
      <c r="H191" s="64"/>
    </row>
    <row r="192" spans="2:8" x14ac:dyDescent="0.2">
      <c r="B192" s="61" t="s">
        <v>439</v>
      </c>
      <c r="C192" s="61" t="str">
        <f>COM_SS!B26</f>
        <v>C_ES-SH-SS_GAS02</v>
      </c>
      <c r="D192" s="137" t="str">
        <f>'Generalized Data'!$B$118&amp;" - "&amp;$C$182</f>
        <v>Natural gas boiler  - Shop – Small (shops)</v>
      </c>
      <c r="E192" s="61" t="s">
        <v>30</v>
      </c>
      <c r="F192" s="61" t="s">
        <v>31</v>
      </c>
      <c r="G192" s="61"/>
      <c r="H192" s="64"/>
    </row>
    <row r="193" spans="2:8" x14ac:dyDescent="0.2">
      <c r="B193" s="61" t="s">
        <v>439</v>
      </c>
      <c r="C193" s="61" t="str">
        <f>COM_SS!B27</f>
        <v>C_ES-SH-SS_GAS03</v>
      </c>
      <c r="D193" s="137" t="str">
        <f>'Generalized Data'!$B$119&amp;" - "&amp;$C$182</f>
        <v>Natural gas boiler.HeatHotwater  - Shop – Small (shops)</v>
      </c>
      <c r="E193" s="61" t="s">
        <v>30</v>
      </c>
      <c r="F193" s="61" t="s">
        <v>31</v>
      </c>
      <c r="G193" s="61"/>
      <c r="H193" s="64"/>
    </row>
    <row r="194" spans="2:8" x14ac:dyDescent="0.2">
      <c r="B194" s="61" t="s">
        <v>439</v>
      </c>
      <c r="C194" s="61" t="str">
        <f>COM_SS!B29</f>
        <v>C_ES-SH-SS_GAS04</v>
      </c>
      <c r="D194" s="137" t="str">
        <f>'Generalized Data'!$B$120&amp;" - "&amp;$C$182</f>
        <v>Natural gas boiler condensing  - Shop – Small (shops)</v>
      </c>
      <c r="E194" s="61" t="s">
        <v>30</v>
      </c>
      <c r="F194" s="61" t="s">
        <v>31</v>
      </c>
      <c r="G194" s="61"/>
      <c r="H194" s="64"/>
    </row>
    <row r="195" spans="2:8" x14ac:dyDescent="0.2">
      <c r="B195" s="61" t="s">
        <v>439</v>
      </c>
      <c r="C195" s="61" t="str">
        <f>COM_SS!B30</f>
        <v>C_ES-SH-SS_GAS05</v>
      </c>
      <c r="D195" s="137" t="str">
        <f>'Generalized Data'!$B$121&amp;" - "&amp;$C$182</f>
        <v>Natural gas boiler condensing.HeatHotwater  - Shop – Small (shops)</v>
      </c>
      <c r="E195" s="61" t="s">
        <v>30</v>
      </c>
      <c r="F195" s="61" t="s">
        <v>31</v>
      </c>
      <c r="G195" s="61"/>
      <c r="H195" s="64"/>
    </row>
    <row r="196" spans="2:8" x14ac:dyDescent="0.2">
      <c r="B196" s="61" t="s">
        <v>439</v>
      </c>
      <c r="C196" s="61" t="str">
        <f>COM_SS!B32</f>
        <v>C_ES-SH-SS_GAS06</v>
      </c>
      <c r="D196" s="137" t="str">
        <f>'Generalized Data'!$B$122&amp;" - "&amp;$C$182</f>
        <v>Air heat pump Natural gas HeatCool - Shop – Small (shops)</v>
      </c>
      <c r="E196" s="61" t="s">
        <v>30</v>
      </c>
      <c r="F196" s="61" t="s">
        <v>31</v>
      </c>
      <c r="G196" s="61"/>
      <c r="H196" s="64" t="s">
        <v>384</v>
      </c>
    </row>
    <row r="197" spans="2:8" x14ac:dyDescent="0.2">
      <c r="B197" s="61" t="s">
        <v>439</v>
      </c>
      <c r="C197" s="61" t="str">
        <f>COM_SS!B34</f>
        <v>C_ES-SH-SS_GAS07</v>
      </c>
      <c r="D197" s="137" t="str">
        <f>'Generalized Data'!$B$123&amp;" - "&amp;$C$182</f>
        <v>Groundwater heat pump with natural gas.HeatCool - Shop – Small (shops)</v>
      </c>
      <c r="E197" s="61" t="s">
        <v>30</v>
      </c>
      <c r="F197" s="61" t="s">
        <v>31</v>
      </c>
      <c r="G197" s="61"/>
      <c r="H197" s="64" t="s">
        <v>384</v>
      </c>
    </row>
    <row r="198" spans="2:8" x14ac:dyDescent="0.2">
      <c r="B198" s="61" t="s">
        <v>439</v>
      </c>
      <c r="C198" s="61" t="str">
        <f>COM_SS!B36</f>
        <v>C_ES-SH-SS_LPG01</v>
      </c>
      <c r="D198" s="137" t="str">
        <f>'Generalized Data'!$B$124&amp;" - "&amp;$C$182</f>
        <v>LPG boiler  - Shop – Small (shops)</v>
      </c>
      <c r="E198" s="61" t="s">
        <v>30</v>
      </c>
      <c r="F198" s="61" t="s">
        <v>31</v>
      </c>
      <c r="G198" s="61"/>
      <c r="H198" s="64"/>
    </row>
    <row r="199" spans="2:8" x14ac:dyDescent="0.2">
      <c r="B199" s="61" t="s">
        <v>439</v>
      </c>
      <c r="C199" s="61" t="str">
        <f>COM_SS!B37</f>
        <v>C_ES-SH-SS_LPG02</v>
      </c>
      <c r="D199" s="137" t="str">
        <f>'Generalized Data'!$B$125&amp;" - "&amp;$C$182</f>
        <v>LPG boiler.HeatHotwater  - Shop – Small (shops)</v>
      </c>
      <c r="E199" s="61" t="s">
        <v>30</v>
      </c>
      <c r="F199" s="61" t="s">
        <v>31</v>
      </c>
      <c r="G199" s="61"/>
      <c r="H199" s="64"/>
    </row>
    <row r="200" spans="2:8" x14ac:dyDescent="0.2">
      <c r="B200" s="61" t="s">
        <v>439</v>
      </c>
      <c r="C200" s="61" t="str">
        <f>COM_SS!B39</f>
        <v>C_ES-SH-SS_LPG03</v>
      </c>
      <c r="D200" s="137" t="str">
        <f>'Generalized Data'!$B$126&amp;" - "&amp;$C$182</f>
        <v>Air heat pump with LPG boiler.HeatCool - Shop – Small (shops)</v>
      </c>
      <c r="E200" s="61" t="s">
        <v>30</v>
      </c>
      <c r="F200" s="61" t="s">
        <v>31</v>
      </c>
      <c r="G200" s="61"/>
      <c r="H200" s="64" t="s">
        <v>384</v>
      </c>
    </row>
    <row r="201" spans="2:8" x14ac:dyDescent="0.2">
      <c r="B201" s="61" t="s">
        <v>439</v>
      </c>
      <c r="C201" s="61" t="str">
        <f>COM_SS!B41</f>
        <v>C_ES-SH-SS_HET01</v>
      </c>
      <c r="D201" s="137" t="str">
        <f>'Generalized Data'!$B$127&amp;" - "&amp;$C$182</f>
        <v>District heat exchanger.HeatHotwater  - Shop – Small (shops)</v>
      </c>
      <c r="E201" s="61" t="s">
        <v>30</v>
      </c>
      <c r="F201" s="61" t="s">
        <v>31</v>
      </c>
      <c r="G201" s="61"/>
      <c r="H201" s="64"/>
    </row>
    <row r="202" spans="2:8" x14ac:dyDescent="0.2">
      <c r="B202" s="61" t="s">
        <v>439</v>
      </c>
      <c r="C202" s="61" t="str">
        <f>COM_SS!B43</f>
        <v>C_ES-SH-SS_OIL01</v>
      </c>
      <c r="D202" s="137" t="str">
        <f>'Generalized Data'!$B$128&amp;" - "&amp;$C$182</f>
        <v>Oil boiler  - Shop – Small (shops)</v>
      </c>
      <c r="E202" s="61" t="s">
        <v>30</v>
      </c>
      <c r="F202" s="61" t="s">
        <v>31</v>
      </c>
      <c r="G202" s="61"/>
      <c r="H202" s="64"/>
    </row>
    <row r="203" spans="2:8" x14ac:dyDescent="0.2">
      <c r="B203" s="61" t="s">
        <v>439</v>
      </c>
      <c r="C203" s="61" t="str">
        <f>COM_SS!B44</f>
        <v>C_ES-SH-SS_OIL02</v>
      </c>
      <c r="D203" s="137" t="str">
        <f>'Generalized Data'!$B$129&amp;" - "&amp;$C$182</f>
        <v>Oil boiler.HeatHotwater  - Shop – Small (shops)</v>
      </c>
      <c r="E203" s="61" t="s">
        <v>30</v>
      </c>
      <c r="F203" s="61" t="s">
        <v>31</v>
      </c>
      <c r="G203" s="61"/>
      <c r="H203" s="64"/>
    </row>
    <row r="204" spans="2:8" x14ac:dyDescent="0.2">
      <c r="B204" s="61" t="s">
        <v>439</v>
      </c>
      <c r="C204" s="61" t="str">
        <f>COM_SS!B46</f>
        <v>C_ES-SH-SS_OIL03</v>
      </c>
      <c r="D204" s="137" t="str">
        <f>'Generalized Data'!$B$130&amp;" - "&amp;$C$182</f>
        <v>Oil boiler condensing.HeatHotwater - Shop – Small (shops)</v>
      </c>
      <c r="E204" s="61" t="s">
        <v>30</v>
      </c>
      <c r="F204" s="61" t="s">
        <v>31</v>
      </c>
      <c r="G204" s="61"/>
      <c r="H204" s="64"/>
    </row>
    <row r="205" spans="2:8" x14ac:dyDescent="0.2">
      <c r="B205" s="61" t="s">
        <v>439</v>
      </c>
      <c r="C205" s="61" t="str">
        <f>COM_SS!B48</f>
        <v>C_ES-SH-SS_ELC09</v>
      </c>
      <c r="D205" s="137" t="str">
        <f>'Generalized Data'!$B$131&amp;" - "&amp;$C$182</f>
        <v>Solar collector with electric backup.HeatHotwater  - Shop – Small (shops)</v>
      </c>
      <c r="E205" s="61" t="s">
        <v>30</v>
      </c>
      <c r="F205" s="61" t="s">
        <v>31</v>
      </c>
      <c r="G205" s="61"/>
      <c r="H205" s="64"/>
    </row>
    <row r="206" spans="2:8" x14ac:dyDescent="0.2">
      <c r="B206" s="61" t="s">
        <v>439</v>
      </c>
      <c r="C206" s="61" t="str">
        <f>COM_SS!B50</f>
        <v>C_ES-SH-SS_OIL04</v>
      </c>
      <c r="D206" s="137" t="str">
        <f>'Generalized Data'!$B$132&amp;" - "&amp;$C$182</f>
        <v>Solar collector with diesel backup.HeatHotwater  - Shop – Small (shops)</v>
      </c>
      <c r="E206" s="61" t="s">
        <v>30</v>
      </c>
      <c r="F206" s="61" t="s">
        <v>31</v>
      </c>
      <c r="G206" s="61"/>
      <c r="H206" s="64"/>
    </row>
    <row r="207" spans="2:8" x14ac:dyDescent="0.2">
      <c r="B207" s="61" t="s">
        <v>439</v>
      </c>
      <c r="C207" s="61" t="str">
        <f>COM_SS!B52</f>
        <v>C_ES-SH-SS_GAS08</v>
      </c>
      <c r="D207" s="137" t="str">
        <f>'Generalized Data'!$B$133&amp;" - "&amp;$C$182</f>
        <v>Solar collector with gas backup.HeatHotwater  - Shop – Small (shops)</v>
      </c>
      <c r="E207" s="61" t="s">
        <v>30</v>
      </c>
      <c r="F207" s="61" t="s">
        <v>31</v>
      </c>
      <c r="G207" s="61"/>
      <c r="H207" s="64"/>
    </row>
    <row r="208" spans="2:8" x14ac:dyDescent="0.2">
      <c r="B208" s="136" t="s">
        <v>439</v>
      </c>
      <c r="C208" s="136" t="str">
        <f>COM_SS!B54</f>
        <v>C_ES-SH-SS_BIO01</v>
      </c>
      <c r="D208" s="136" t="str">
        <f>'Generalized Data'!$B$134&amp;" - "&amp;$C$182</f>
        <v>Wood-pellets boiler.HeatHotwater  - Shop – Small (shops)</v>
      </c>
      <c r="E208" s="136" t="s">
        <v>30</v>
      </c>
      <c r="F208" s="136" t="s">
        <v>31</v>
      </c>
      <c r="G208" s="136"/>
      <c r="H208" s="104"/>
    </row>
    <row r="209" spans="2:8" x14ac:dyDescent="0.2">
      <c r="B209" s="61" t="s">
        <v>439</v>
      </c>
      <c r="C209" s="61" t="str">
        <f>COM_SS!B60</f>
        <v>C_ES-WH-SS_BIO01</v>
      </c>
      <c r="D209" s="61" t="str">
        <f>'Generalized Data'!$B$137&amp;" - "&amp;$C$182</f>
        <v>Wood pellets boiler water heater - Shop – Small (shops)</v>
      </c>
      <c r="E209" s="61" t="s">
        <v>30</v>
      </c>
      <c r="F209" s="61" t="s">
        <v>31</v>
      </c>
      <c r="G209" s="61"/>
      <c r="H209" s="61"/>
    </row>
    <row r="210" spans="2:8" x14ac:dyDescent="0.2">
      <c r="B210" s="61" t="s">
        <v>439</v>
      </c>
      <c r="C210" s="61" t="str">
        <f>COM_SS!B61</f>
        <v>C_ES-WH-SS_ELC01</v>
      </c>
      <c r="D210" s="137" t="str">
        <f>'Generalized Data'!$B$138&amp;" - "&amp;$C$182</f>
        <v>Electric boiler water heater resistance - Shop – Small (shops)</v>
      </c>
      <c r="E210" s="61" t="s">
        <v>30</v>
      </c>
      <c r="F210" s="61" t="s">
        <v>31</v>
      </c>
      <c r="G210" s="61"/>
      <c r="H210" s="61"/>
    </row>
    <row r="211" spans="2:8" x14ac:dyDescent="0.2">
      <c r="B211" s="61" t="s">
        <v>439</v>
      </c>
      <c r="C211" s="61" t="str">
        <f>COM_SS!B62</f>
        <v>C_ES-WH-SS_ELC02</v>
      </c>
      <c r="D211" s="137" t="str">
        <f>'Generalized Data'!$B$139&amp;" - "&amp;$C$182</f>
        <v>Electric heat pump water heater - Shop – Small (shops)</v>
      </c>
      <c r="E211" s="61" t="s">
        <v>30</v>
      </c>
      <c r="F211" s="61" t="s">
        <v>31</v>
      </c>
      <c r="G211" s="61"/>
      <c r="H211" s="61"/>
    </row>
    <row r="212" spans="2:8" x14ac:dyDescent="0.2">
      <c r="B212" s="61" t="s">
        <v>439</v>
      </c>
      <c r="C212" s="61" t="str">
        <f>COM_SS!B64</f>
        <v>C_ES-WH-SS_GAS01</v>
      </c>
      <c r="D212" s="137" t="str">
        <f>'Generalized Data'!$B$140&amp;" - "&amp;$C$182</f>
        <v>Natural gas boiler water heater - Shop – Small (shops)</v>
      </c>
      <c r="E212" s="61" t="s">
        <v>30</v>
      </c>
      <c r="F212" s="61" t="s">
        <v>31</v>
      </c>
      <c r="G212" s="61"/>
      <c r="H212" s="61"/>
    </row>
    <row r="213" spans="2:8" x14ac:dyDescent="0.2">
      <c r="B213" s="61" t="s">
        <v>439</v>
      </c>
      <c r="C213" s="61" t="str">
        <f>COM_SS!B65</f>
        <v>C_ES-WH-SS_GEO01</v>
      </c>
      <c r="D213" s="137" t="str">
        <f>'Generalized Data'!$B$141&amp;" - "&amp;$C$182</f>
        <v>Geo Heat Exchanger water heater - Shop – Small (shops)</v>
      </c>
      <c r="E213" s="61" t="s">
        <v>30</v>
      </c>
      <c r="F213" s="61" t="s">
        <v>31</v>
      </c>
      <c r="G213" s="61"/>
      <c r="H213" s="61"/>
    </row>
    <row r="214" spans="2:8" x14ac:dyDescent="0.2">
      <c r="B214" s="61" t="s">
        <v>439</v>
      </c>
      <c r="C214" s="61" t="str">
        <f>COM_SS!B66</f>
        <v>C_ES-WH-SS_LPG01</v>
      </c>
      <c r="D214" s="137" t="str">
        <f>'Generalized Data'!$B$142&amp;" - "&amp;$C$182</f>
        <v>LPG boiler water heater - Shop – Small (shops)</v>
      </c>
      <c r="E214" s="61" t="s">
        <v>30</v>
      </c>
      <c r="F214" s="61" t="s">
        <v>31</v>
      </c>
      <c r="G214" s="61"/>
      <c r="H214" s="61"/>
    </row>
    <row r="215" spans="2:8" x14ac:dyDescent="0.2">
      <c r="B215" s="61" t="s">
        <v>439</v>
      </c>
      <c r="C215" s="61" t="str">
        <f>COM_SS!B67</f>
        <v>C_ES-WH-SS_OIL01</v>
      </c>
      <c r="D215" s="137" t="str">
        <f>'Generalized Data'!$B$143&amp;" - "&amp;$C$182</f>
        <v>Oil boiler water heater - Shop – Small (shops)</v>
      </c>
      <c r="E215" s="61" t="s">
        <v>30</v>
      </c>
      <c r="F215" s="61" t="s">
        <v>31</v>
      </c>
      <c r="G215" s="61"/>
      <c r="H215" s="61"/>
    </row>
    <row r="216" spans="2:8" x14ac:dyDescent="0.2">
      <c r="B216" s="61" t="s">
        <v>439</v>
      </c>
      <c r="C216" s="61" t="str">
        <f>COM_SS!B68</f>
        <v>C_ES-WH-SS_ELC03</v>
      </c>
      <c r="D216" s="137" t="str">
        <f>'Generalized Data'!$B$144&amp;" - "&amp;$C$182</f>
        <v>Solar water heater with electricity backup - Shop – Small (shops)</v>
      </c>
      <c r="E216" s="61" t="s">
        <v>30</v>
      </c>
      <c r="F216" s="61" t="s">
        <v>31</v>
      </c>
      <c r="G216" s="61"/>
      <c r="H216" s="61"/>
    </row>
    <row r="217" spans="2:8" x14ac:dyDescent="0.2">
      <c r="B217" s="61" t="s">
        <v>439</v>
      </c>
      <c r="C217" s="61" t="str">
        <f>COM_SS!B70</f>
        <v>C_ES-WH-SS_OIL01</v>
      </c>
      <c r="D217" s="137" t="str">
        <f>'Generalized Data'!$B$145&amp;" - "&amp;$C$182</f>
        <v>Solar water heater with diesel backup - Shop – Small (shops)</v>
      </c>
      <c r="E217" s="61" t="s">
        <v>30</v>
      </c>
      <c r="F217" s="61" t="s">
        <v>31</v>
      </c>
      <c r="G217" s="61"/>
      <c r="H217" s="61"/>
    </row>
    <row r="218" spans="2:8" x14ac:dyDescent="0.2">
      <c r="B218" s="61" t="s">
        <v>439</v>
      </c>
      <c r="C218" s="61" t="str">
        <f>COM_SS!B72</f>
        <v>C_ES-WH-SS_GAS01</v>
      </c>
      <c r="D218" s="137" t="str">
        <f>'Generalized Data'!$B$146&amp;" - "&amp;$C$182</f>
        <v>Solar water heater with gas backup - Shop – Small (shops)</v>
      </c>
      <c r="E218" s="61" t="s">
        <v>30</v>
      </c>
      <c r="F218" s="61" t="s">
        <v>31</v>
      </c>
      <c r="G218" s="61"/>
      <c r="H218" s="61"/>
    </row>
    <row r="219" spans="2:8" x14ac:dyDescent="0.2">
      <c r="B219" s="136" t="s">
        <v>439</v>
      </c>
      <c r="C219" s="136" t="str">
        <f>COM_SS!B74</f>
        <v>C_ES-WH-SS_WSE01</v>
      </c>
      <c r="D219" s="136" t="str">
        <f>'Generalized Data'!$B$147&amp;" - "&amp;$C$182</f>
        <v>FC output to HotWater demand - Shop – Small (shops)</v>
      </c>
      <c r="E219" s="136" t="s">
        <v>30</v>
      </c>
      <c r="F219" s="136" t="s">
        <v>31</v>
      </c>
      <c r="G219" s="136"/>
      <c r="H219" s="136"/>
    </row>
    <row r="220" spans="2:8" x14ac:dyDescent="0.2">
      <c r="B220" s="61" t="s">
        <v>439</v>
      </c>
      <c r="C220" s="61" t="str">
        <f>COM_SS!B79</f>
        <v>C_ES-SC-SS_ELC01</v>
      </c>
      <c r="D220" s="61" t="str">
        <f>'Generalized Data'!$B$149&amp;" - "&amp;$C$182</f>
        <v>Room air-conditioner - Shop – Small (shops)</v>
      </c>
      <c r="E220" s="61" t="s">
        <v>30</v>
      </c>
      <c r="F220" s="61" t="s">
        <v>31</v>
      </c>
      <c r="G220" s="61"/>
      <c r="H220" s="61"/>
    </row>
    <row r="221" spans="2:8" x14ac:dyDescent="0.2">
      <c r="B221" s="61" t="s">
        <v>439</v>
      </c>
      <c r="C221" s="61" t="str">
        <f>COM_SS!B80</f>
        <v>C_ES-SC-SS_ELC02</v>
      </c>
      <c r="D221" s="137" t="str">
        <f>'Generalized Data'!$B$150&amp;" - "&amp;$C$182</f>
        <v>Air fans - Shop – Small (shops)</v>
      </c>
      <c r="E221" s="61" t="s">
        <v>30</v>
      </c>
      <c r="F221" s="61" t="s">
        <v>31</v>
      </c>
      <c r="G221" s="61"/>
      <c r="H221" s="61"/>
    </row>
    <row r="222" spans="2:8" x14ac:dyDescent="0.2">
      <c r="B222" s="61" t="s">
        <v>439</v>
      </c>
      <c r="C222" s="61" t="str">
        <f>COM_SS!B81</f>
        <v>C_ES-SC-SS_ELC03</v>
      </c>
      <c r="D222" s="137" t="str">
        <f>'Generalized Data'!$B$151&amp;" - "&amp;$C$182</f>
        <v>Roof-top central electric chiller - Shop – Small (shops)</v>
      </c>
      <c r="E222" s="61" t="s">
        <v>30</v>
      </c>
      <c r="F222" s="61" t="s">
        <v>31</v>
      </c>
      <c r="G222" s="61"/>
      <c r="H222" s="61"/>
    </row>
    <row r="223" spans="2:8" x14ac:dyDescent="0.2">
      <c r="B223" s="61" t="s">
        <v>439</v>
      </c>
      <c r="C223" s="61" t="str">
        <f>COM_SS!B82</f>
        <v>C_ES-SC-SS_ELC04</v>
      </c>
      <c r="D223" s="137" t="str">
        <f>'Generalized Data'!$B$152&amp;" - "&amp;$C$182</f>
        <v>Centralized electrical air conditioner - Shop – Small (shops)</v>
      </c>
      <c r="E223" s="61" t="s">
        <v>30</v>
      </c>
      <c r="F223" s="61" t="s">
        <v>31</v>
      </c>
      <c r="G223" s="61"/>
      <c r="H223" s="61"/>
    </row>
    <row r="224" spans="2:8" x14ac:dyDescent="0.2">
      <c r="B224" s="61" t="s">
        <v>439</v>
      </c>
      <c r="C224" s="61" t="str">
        <f>COM_SS!B83</f>
        <v>C_ES-SC-SS_ELC05</v>
      </c>
      <c r="D224" s="137" t="str">
        <f>'Generalized Data'!$B$153&amp;" - "&amp;$C$182</f>
        <v>Non-reversible electricity heat pump - Shop – Small (shops)</v>
      </c>
      <c r="E224" s="61" t="s">
        <v>30</v>
      </c>
      <c r="F224" s="61" t="s">
        <v>31</v>
      </c>
      <c r="G224" s="61"/>
      <c r="H224" s="61"/>
    </row>
    <row r="225" spans="2:8" x14ac:dyDescent="0.2">
      <c r="B225" s="61" t="s">
        <v>439</v>
      </c>
      <c r="C225" s="61" t="str">
        <f>COM_SS!B84</f>
        <v>C_ES-SC-SS_GAS01</v>
      </c>
      <c r="D225" s="137" t="str">
        <f>'Generalized Data'!$B$154&amp;" - "&amp;$C$182</f>
        <v>Centralized gas air conditioner - Shop – Small (shops)</v>
      </c>
      <c r="E225" s="61" t="s">
        <v>30</v>
      </c>
      <c r="F225" s="61" t="s">
        <v>31</v>
      </c>
      <c r="G225" s="61"/>
      <c r="H225" s="61"/>
    </row>
    <row r="226" spans="2:8" x14ac:dyDescent="0.2">
      <c r="B226" s="61" t="s">
        <v>439</v>
      </c>
      <c r="C226" s="61" t="str">
        <f>COM_SS!B85</f>
        <v>C_ES-SC-SS_GAS02</v>
      </c>
      <c r="D226" s="136" t="str">
        <f>'Generalized Data'!$B$155&amp;" - "&amp;$C$182</f>
        <v>Non reversible gas heat pump - Shop – Small (shops)</v>
      </c>
      <c r="E226" s="61" t="s">
        <v>30</v>
      </c>
      <c r="F226" s="61" t="s">
        <v>31</v>
      </c>
      <c r="G226" s="61"/>
      <c r="H226" s="61"/>
    </row>
    <row r="227" spans="2:8" ht="14.25" x14ac:dyDescent="0.2">
      <c r="B227" s="99" t="str">
        <f>"\I:"&amp;"COMOF"</f>
        <v>\I:COMOF</v>
      </c>
      <c r="C227" s="99" t="s">
        <v>478</v>
      </c>
      <c r="D227" s="99"/>
      <c r="E227" s="99"/>
      <c r="F227" s="99"/>
      <c r="G227" s="99"/>
      <c r="H227" s="99"/>
    </row>
    <row r="228" spans="2:8" x14ac:dyDescent="0.2">
      <c r="B228" s="61" t="s">
        <v>439</v>
      </c>
      <c r="C228" s="61" t="str">
        <f>COM_OF!B6</f>
        <v>C_ES-SH-OF_ELC01</v>
      </c>
      <c r="D228" s="61" t="str">
        <f>'Generalized Data'!$B$109&amp;" - "&amp;$C$227</f>
        <v>Electric radiators  - Offices (Offices, Schools/Universities, Museums etc)</v>
      </c>
      <c r="E228" s="61" t="s">
        <v>30</v>
      </c>
      <c r="F228" s="61" t="s">
        <v>31</v>
      </c>
      <c r="G228" s="61"/>
      <c r="H228" s="64"/>
    </row>
    <row r="229" spans="2:8" x14ac:dyDescent="0.2">
      <c r="B229" s="61" t="s">
        <v>439</v>
      </c>
      <c r="C229" s="61" t="str">
        <f>COM_OF!B7</f>
        <v>C_ES-SH-OF_ELC02</v>
      </c>
      <c r="D229" s="137" t="str">
        <f>'Generalized Data'!$B$110&amp;" - "&amp;$C$227</f>
        <v>Electric boiler - Offices (Offices, Schools/Universities, Museums etc)</v>
      </c>
      <c r="E229" s="61" t="s">
        <v>30</v>
      </c>
      <c r="F229" s="61" t="s">
        <v>31</v>
      </c>
      <c r="G229" s="61"/>
      <c r="H229" s="64"/>
    </row>
    <row r="230" spans="2:8" x14ac:dyDescent="0.2">
      <c r="B230" s="61" t="s">
        <v>439</v>
      </c>
      <c r="C230" s="61" t="str">
        <f>COM_OF!B8</f>
        <v>C_ES-SH-OF_ELC03</v>
      </c>
      <c r="D230" s="137" t="str">
        <f>'Generalized Data'!$B$111&amp;" - "&amp;$C$227</f>
        <v>Air heat pump Electric - Offices (Offices, Schools/Universities, Museums etc)</v>
      </c>
      <c r="E230" s="61" t="s">
        <v>30</v>
      </c>
      <c r="F230" s="61" t="s">
        <v>31</v>
      </c>
      <c r="G230" s="61"/>
      <c r="H230" s="64" t="s">
        <v>384</v>
      </c>
    </row>
    <row r="231" spans="2:8" x14ac:dyDescent="0.2">
      <c r="B231" s="61" t="s">
        <v>439</v>
      </c>
      <c r="C231" s="61" t="str">
        <f>COM_OF!B10</f>
        <v>C_ES-SH-OF_ELC04</v>
      </c>
      <c r="D231" s="137" t="str">
        <f>'Generalized Data'!$B$112&amp;" - "&amp;$C$227</f>
        <v>Air heat pump Electric HeatCool - Offices (Offices, Schools/Universities, Museums etc)</v>
      </c>
      <c r="E231" s="61" t="s">
        <v>30</v>
      </c>
      <c r="F231" s="61" t="s">
        <v>31</v>
      </c>
      <c r="G231" s="61"/>
      <c r="H231" s="64" t="s">
        <v>384</v>
      </c>
    </row>
    <row r="232" spans="2:8" x14ac:dyDescent="0.2">
      <c r="B232" s="61" t="s">
        <v>439</v>
      </c>
      <c r="C232" s="61" t="str">
        <f>COM_OF!B13</f>
        <v>C_ES-SH-OF_ELC05</v>
      </c>
      <c r="D232" s="137" t="str">
        <f>'Generalized Data'!$B$113&amp;" - "&amp;$C$227</f>
        <v>Adv Air heat pump Electric HeatCool - Offices (Offices, Schools/Universities, Museums etc)</v>
      </c>
      <c r="E232" s="61" t="s">
        <v>30</v>
      </c>
      <c r="F232" s="61" t="s">
        <v>31</v>
      </c>
      <c r="G232" s="61"/>
      <c r="H232" s="64" t="s">
        <v>384</v>
      </c>
    </row>
    <row r="233" spans="2:8" x14ac:dyDescent="0.2">
      <c r="B233" s="61" t="s">
        <v>439</v>
      </c>
      <c r="C233" s="61" t="str">
        <f>COM_OF!B16</f>
        <v>C_ES-SH-OF_ELC06</v>
      </c>
      <c r="D233" s="137" t="str">
        <f>'Generalized Data'!$B$114&amp;" - "&amp;$C$227</f>
        <v>Ground heat pump Electric - Offices (Offices, Schools/Universities, Museums etc)</v>
      </c>
      <c r="E233" s="61" t="s">
        <v>30</v>
      </c>
      <c r="F233" s="61" t="s">
        <v>31</v>
      </c>
      <c r="G233" s="61"/>
      <c r="H233" s="64" t="s">
        <v>384</v>
      </c>
    </row>
    <row r="234" spans="2:8" x14ac:dyDescent="0.2">
      <c r="B234" s="61" t="s">
        <v>439</v>
      </c>
      <c r="C234" s="61" t="str">
        <f>COM_OF!B19</f>
        <v>C_ES-SH-OF_ELC07</v>
      </c>
      <c r="D234" s="137" t="str">
        <f>'Generalized Data'!$B$115&amp;" - "&amp;$C$227</f>
        <v>Ground heat pump Electric HeatCool - Offices (Offices, Schools/Universities, Museums etc)</v>
      </c>
      <c r="E234" s="61" t="s">
        <v>30</v>
      </c>
      <c r="F234" s="61" t="s">
        <v>31</v>
      </c>
      <c r="G234" s="61"/>
      <c r="H234" s="64" t="s">
        <v>384</v>
      </c>
    </row>
    <row r="235" spans="2:8" x14ac:dyDescent="0.2">
      <c r="B235" s="61" t="s">
        <v>439</v>
      </c>
      <c r="C235" s="61" t="str">
        <f>COM_OF!B22</f>
        <v>C_ES-SH-OF_ELC08</v>
      </c>
      <c r="D235" s="137" t="str">
        <f>'Generalized Data'!$B$116&amp;" - "&amp;$C$227</f>
        <v>Groundwater heat pump Electric Heat Cool - Offices (Offices, Schools/Universities, Museums etc)</v>
      </c>
      <c r="E235" s="61" t="s">
        <v>30</v>
      </c>
      <c r="F235" s="61" t="s">
        <v>31</v>
      </c>
      <c r="G235" s="61"/>
      <c r="H235" s="64" t="s">
        <v>384</v>
      </c>
    </row>
    <row r="236" spans="2:8" x14ac:dyDescent="0.2">
      <c r="B236" s="61" t="s">
        <v>439</v>
      </c>
      <c r="C236" s="61" t="str">
        <f>COM_OF!B25</f>
        <v>C_ES-SH-OF_GAS01</v>
      </c>
      <c r="D236" s="137" t="str">
        <f>'Generalized Data'!$B$117&amp;" - "&amp;$C$227</f>
        <v>Natural gas stove  - Offices (Offices, Schools/Universities, Museums etc)</v>
      </c>
      <c r="E236" s="61" t="s">
        <v>30</v>
      </c>
      <c r="F236" s="61" t="s">
        <v>31</v>
      </c>
      <c r="G236" s="61"/>
      <c r="H236" s="64"/>
    </row>
    <row r="237" spans="2:8" x14ac:dyDescent="0.2">
      <c r="B237" s="61" t="s">
        <v>439</v>
      </c>
      <c r="C237" s="61" t="str">
        <f>COM_OF!B26</f>
        <v>C_ES-SH-OF_GAS02</v>
      </c>
      <c r="D237" s="137" t="str">
        <f>'Generalized Data'!$B$118&amp;" - "&amp;$C$227</f>
        <v>Natural gas boiler  - Offices (Offices, Schools/Universities, Museums etc)</v>
      </c>
      <c r="E237" s="61" t="s">
        <v>30</v>
      </c>
      <c r="F237" s="61" t="s">
        <v>31</v>
      </c>
      <c r="G237" s="61"/>
      <c r="H237" s="64"/>
    </row>
    <row r="238" spans="2:8" x14ac:dyDescent="0.2">
      <c r="B238" s="61" t="s">
        <v>439</v>
      </c>
      <c r="C238" s="61" t="str">
        <f>COM_OF!B27</f>
        <v>C_ES-SH-OF_GAS03</v>
      </c>
      <c r="D238" s="137" t="str">
        <f>'Generalized Data'!$B$119&amp;" - "&amp;$C$227</f>
        <v>Natural gas boiler.HeatHotwater  - Offices (Offices, Schools/Universities, Museums etc)</v>
      </c>
      <c r="E238" s="61" t="s">
        <v>30</v>
      </c>
      <c r="F238" s="61" t="s">
        <v>31</v>
      </c>
      <c r="G238" s="61"/>
      <c r="H238" s="64"/>
    </row>
    <row r="239" spans="2:8" x14ac:dyDescent="0.2">
      <c r="B239" s="61" t="s">
        <v>439</v>
      </c>
      <c r="C239" s="61" t="str">
        <f>COM_OF!B29</f>
        <v>C_ES-SH-OF_GAS04</v>
      </c>
      <c r="D239" s="137" t="str">
        <f>'Generalized Data'!$B$120&amp;" - "&amp;$C$227</f>
        <v>Natural gas boiler condensing  - Offices (Offices, Schools/Universities, Museums etc)</v>
      </c>
      <c r="E239" s="61" t="s">
        <v>30</v>
      </c>
      <c r="F239" s="61" t="s">
        <v>31</v>
      </c>
      <c r="G239" s="61"/>
      <c r="H239" s="64"/>
    </row>
    <row r="240" spans="2:8" x14ac:dyDescent="0.2">
      <c r="B240" s="61" t="s">
        <v>439</v>
      </c>
      <c r="C240" s="61" t="str">
        <f>COM_OF!B30</f>
        <v>C_ES-SH-OF_GAS05</v>
      </c>
      <c r="D240" s="137" t="str">
        <f>'Generalized Data'!$B$121&amp;" - "&amp;$C$227</f>
        <v>Natural gas boiler condensing.HeatHotwater  - Offices (Offices, Schools/Universities, Museums etc)</v>
      </c>
      <c r="E240" s="61" t="s">
        <v>30</v>
      </c>
      <c r="F240" s="61" t="s">
        <v>31</v>
      </c>
      <c r="G240" s="61"/>
      <c r="H240" s="64"/>
    </row>
    <row r="241" spans="2:8" x14ac:dyDescent="0.2">
      <c r="B241" s="61" t="s">
        <v>439</v>
      </c>
      <c r="C241" s="61" t="str">
        <f>COM_OF!B32</f>
        <v>C_ES-SH-OF_GAS06</v>
      </c>
      <c r="D241" s="137" t="str">
        <f>'Generalized Data'!$B$122&amp;" - "&amp;$C$227</f>
        <v>Air heat pump Natural gas HeatCool - Offices (Offices, Schools/Universities, Museums etc)</v>
      </c>
      <c r="E241" s="61" t="s">
        <v>30</v>
      </c>
      <c r="F241" s="61" t="s">
        <v>31</v>
      </c>
      <c r="G241" s="61"/>
      <c r="H241" s="64" t="s">
        <v>384</v>
      </c>
    </row>
    <row r="242" spans="2:8" x14ac:dyDescent="0.2">
      <c r="B242" s="61" t="s">
        <v>439</v>
      </c>
      <c r="C242" s="61" t="str">
        <f>COM_OF!B34</f>
        <v>C_ES-SH-OF_GAS07</v>
      </c>
      <c r="D242" s="137" t="str">
        <f>'Generalized Data'!$B$123&amp;" - "&amp;$C$227</f>
        <v>Groundwater heat pump with natural gas.HeatCool - Offices (Offices, Schools/Universities, Museums etc)</v>
      </c>
      <c r="E242" s="61" t="s">
        <v>30</v>
      </c>
      <c r="F242" s="61" t="s">
        <v>31</v>
      </c>
      <c r="G242" s="61"/>
      <c r="H242" s="64" t="s">
        <v>384</v>
      </c>
    </row>
    <row r="243" spans="2:8" x14ac:dyDescent="0.2">
      <c r="B243" s="61" t="s">
        <v>439</v>
      </c>
      <c r="C243" s="61" t="str">
        <f>COM_OF!B36</f>
        <v>C_ES-SH-OF_LPG01</v>
      </c>
      <c r="D243" s="137" t="str">
        <f>'Generalized Data'!$B$124&amp;" - "&amp;$C$227</f>
        <v>LPG boiler  - Offices (Offices, Schools/Universities, Museums etc)</v>
      </c>
      <c r="E243" s="61" t="s">
        <v>30</v>
      </c>
      <c r="F243" s="61" t="s">
        <v>31</v>
      </c>
      <c r="G243" s="61"/>
      <c r="H243" s="64"/>
    </row>
    <row r="244" spans="2:8" x14ac:dyDescent="0.2">
      <c r="B244" s="61" t="s">
        <v>439</v>
      </c>
      <c r="C244" s="61" t="str">
        <f>COM_OF!B37</f>
        <v>C_ES-SH-OF_LPG02</v>
      </c>
      <c r="D244" s="137" t="str">
        <f>'Generalized Data'!$B$125&amp;" - "&amp;$C$227</f>
        <v>LPG boiler.HeatHotwater  - Offices (Offices, Schools/Universities, Museums etc)</v>
      </c>
      <c r="E244" s="61" t="s">
        <v>30</v>
      </c>
      <c r="F244" s="61" t="s">
        <v>31</v>
      </c>
      <c r="G244" s="61"/>
      <c r="H244" s="64"/>
    </row>
    <row r="245" spans="2:8" x14ac:dyDescent="0.2">
      <c r="B245" s="61" t="s">
        <v>439</v>
      </c>
      <c r="C245" s="61" t="str">
        <f>COM_OF!B39</f>
        <v>C_ES-SH-OF_LPG03</v>
      </c>
      <c r="D245" s="137" t="str">
        <f>'Generalized Data'!$B$126&amp;" - "&amp;$C$227</f>
        <v>Air heat pump with LPG boiler.HeatCool - Offices (Offices, Schools/Universities, Museums etc)</v>
      </c>
      <c r="E245" s="61" t="s">
        <v>30</v>
      </c>
      <c r="F245" s="61" t="s">
        <v>31</v>
      </c>
      <c r="G245" s="61"/>
      <c r="H245" s="64" t="s">
        <v>384</v>
      </c>
    </row>
    <row r="246" spans="2:8" x14ac:dyDescent="0.2">
      <c r="B246" s="61" t="s">
        <v>439</v>
      </c>
      <c r="C246" s="61" t="str">
        <f>COM_OF!B41</f>
        <v>C_ES-SH-OF_HET01</v>
      </c>
      <c r="D246" s="137" t="str">
        <f>'Generalized Data'!$B$127&amp;" - "&amp;$C$227</f>
        <v>District heat exchanger.HeatHotwater  - Offices (Offices, Schools/Universities, Museums etc)</v>
      </c>
      <c r="E246" s="61" t="s">
        <v>30</v>
      </c>
      <c r="F246" s="61" t="s">
        <v>31</v>
      </c>
      <c r="G246" s="61"/>
      <c r="H246" s="64"/>
    </row>
    <row r="247" spans="2:8" x14ac:dyDescent="0.2">
      <c r="B247" s="61" t="s">
        <v>439</v>
      </c>
      <c r="C247" s="61" t="str">
        <f>COM_OF!B43</f>
        <v>C_ES-SH-OF_OIL01</v>
      </c>
      <c r="D247" s="137" t="str">
        <f>'Generalized Data'!$B$128&amp;" - "&amp;$C$227</f>
        <v>Oil boiler  - Offices (Offices, Schools/Universities, Museums etc)</v>
      </c>
      <c r="E247" s="61" t="s">
        <v>30</v>
      </c>
      <c r="F247" s="61" t="s">
        <v>31</v>
      </c>
      <c r="G247" s="61"/>
      <c r="H247" s="64"/>
    </row>
    <row r="248" spans="2:8" x14ac:dyDescent="0.2">
      <c r="B248" s="61" t="s">
        <v>439</v>
      </c>
      <c r="C248" s="61" t="str">
        <f>COM_OF!B44</f>
        <v>C_ES-SH-OF_OIL02</v>
      </c>
      <c r="D248" s="137" t="str">
        <f>'Generalized Data'!$B$129&amp;" - "&amp;$C$227</f>
        <v>Oil boiler.HeatHotwater  - Offices (Offices, Schools/Universities, Museums etc)</v>
      </c>
      <c r="E248" s="61" t="s">
        <v>30</v>
      </c>
      <c r="F248" s="61" t="s">
        <v>31</v>
      </c>
      <c r="G248" s="61"/>
      <c r="H248" s="64"/>
    </row>
    <row r="249" spans="2:8" x14ac:dyDescent="0.2">
      <c r="B249" s="61" t="s">
        <v>439</v>
      </c>
      <c r="C249" s="61" t="str">
        <f>COM_OF!B46</f>
        <v>C_ES-SH-OF_OIL03</v>
      </c>
      <c r="D249" s="137" t="str">
        <f>'Generalized Data'!$B$130&amp;" - "&amp;$C$227</f>
        <v>Oil boiler condensing.HeatHotwater - Offices (Offices, Schools/Universities, Museums etc)</v>
      </c>
      <c r="E249" s="61" t="s">
        <v>30</v>
      </c>
      <c r="F249" s="61" t="s">
        <v>31</v>
      </c>
      <c r="G249" s="61"/>
      <c r="H249" s="64"/>
    </row>
    <row r="250" spans="2:8" x14ac:dyDescent="0.2">
      <c r="B250" s="61" t="s">
        <v>439</v>
      </c>
      <c r="C250" s="61" t="str">
        <f>COM_OF!B48</f>
        <v>C_ES-SH-OF_ELC09</v>
      </c>
      <c r="D250" s="137" t="str">
        <f>'Generalized Data'!$B$131&amp;" - "&amp;$C$227</f>
        <v>Solar collector with electric backup.HeatHotwater  - Offices (Offices, Schools/Universities, Museums etc)</v>
      </c>
      <c r="E250" s="61" t="s">
        <v>30</v>
      </c>
      <c r="F250" s="61" t="s">
        <v>31</v>
      </c>
      <c r="G250" s="61"/>
      <c r="H250" s="64"/>
    </row>
    <row r="251" spans="2:8" x14ac:dyDescent="0.2">
      <c r="B251" s="61" t="s">
        <v>439</v>
      </c>
      <c r="C251" s="61" t="str">
        <f>COM_OF!B50</f>
        <v>C_ES-SH-OF_OIL04</v>
      </c>
      <c r="D251" s="137" t="str">
        <f>'Generalized Data'!$B$132&amp;" - "&amp;$C$227</f>
        <v>Solar collector with diesel backup.HeatHotwater  - Offices (Offices, Schools/Universities, Museums etc)</v>
      </c>
      <c r="E251" s="61" t="s">
        <v>30</v>
      </c>
      <c r="F251" s="61" t="s">
        <v>31</v>
      </c>
      <c r="G251" s="61"/>
      <c r="H251" s="64"/>
    </row>
    <row r="252" spans="2:8" x14ac:dyDescent="0.2">
      <c r="B252" s="61" t="s">
        <v>439</v>
      </c>
      <c r="C252" s="61" t="str">
        <f>COM_OF!B52</f>
        <v>C_ES-SH-OF_GAS08</v>
      </c>
      <c r="D252" s="137" t="str">
        <f>'Generalized Data'!$B$133&amp;" - "&amp;$C$227</f>
        <v>Solar collector with gas backup.HeatHotwater  - Offices (Offices, Schools/Universities, Museums etc)</v>
      </c>
      <c r="E252" s="61" t="s">
        <v>30</v>
      </c>
      <c r="F252" s="61" t="s">
        <v>31</v>
      </c>
      <c r="G252" s="61"/>
      <c r="H252" s="64"/>
    </row>
    <row r="253" spans="2:8" x14ac:dyDescent="0.2">
      <c r="B253" s="136" t="s">
        <v>439</v>
      </c>
      <c r="C253" s="136" t="str">
        <f>COM_OF!B54</f>
        <v>C_ES-SH-OF_BIO01</v>
      </c>
      <c r="D253" s="136" t="str">
        <f>'Generalized Data'!$B$134&amp;" - "&amp;$C$227</f>
        <v>Wood-pellets boiler.HeatHotwater  - Offices (Offices, Schools/Universities, Museums etc)</v>
      </c>
      <c r="E253" s="136" t="s">
        <v>30</v>
      </c>
      <c r="F253" s="136" t="s">
        <v>31</v>
      </c>
      <c r="G253" s="136"/>
      <c r="H253" s="104"/>
    </row>
    <row r="254" spans="2:8" x14ac:dyDescent="0.2">
      <c r="B254" s="61" t="s">
        <v>439</v>
      </c>
      <c r="C254" s="61" t="str">
        <f>COM_OF!B60</f>
        <v>C_ES-WH-OF_BIO01</v>
      </c>
      <c r="D254" s="61" t="str">
        <f>'Generalized Data'!$B$137&amp;" - "&amp;$C$227</f>
        <v>Wood pellets boiler water heater - Offices (Offices, Schools/Universities, Museums etc)</v>
      </c>
      <c r="E254" s="61" t="s">
        <v>30</v>
      </c>
      <c r="F254" s="61" t="s">
        <v>31</v>
      </c>
      <c r="G254" s="61"/>
      <c r="H254" s="61"/>
    </row>
    <row r="255" spans="2:8" x14ac:dyDescent="0.2">
      <c r="B255" s="61" t="s">
        <v>439</v>
      </c>
      <c r="C255" s="61" t="str">
        <f>COM_OF!B61</f>
        <v>C_ES-WH-OF_ELC01</v>
      </c>
      <c r="D255" s="137" t="str">
        <f>'Generalized Data'!$B$138&amp;" - "&amp;$C$227</f>
        <v>Electric boiler water heater resistance - Offices (Offices, Schools/Universities, Museums etc)</v>
      </c>
      <c r="E255" s="61" t="s">
        <v>30</v>
      </c>
      <c r="F255" s="61" t="s">
        <v>31</v>
      </c>
      <c r="G255" s="61"/>
      <c r="H255" s="61"/>
    </row>
    <row r="256" spans="2:8" x14ac:dyDescent="0.2">
      <c r="B256" s="61" t="s">
        <v>439</v>
      </c>
      <c r="C256" s="61" t="str">
        <f>COM_OF!B62</f>
        <v>C_ES-WH-OF_ELC02</v>
      </c>
      <c r="D256" s="137" t="str">
        <f>'Generalized Data'!$B$139&amp;" - "&amp;$C$227</f>
        <v>Electric heat pump water heater - Offices (Offices, Schools/Universities, Museums etc)</v>
      </c>
      <c r="E256" s="61" t="s">
        <v>30</v>
      </c>
      <c r="F256" s="61" t="s">
        <v>31</v>
      </c>
      <c r="G256" s="61"/>
      <c r="H256" s="61"/>
    </row>
    <row r="257" spans="2:10" x14ac:dyDescent="0.2">
      <c r="B257" s="61" t="s">
        <v>439</v>
      </c>
      <c r="C257" s="61" t="str">
        <f>COM_OF!B64</f>
        <v>C_ES-WH-OF_GAS01</v>
      </c>
      <c r="D257" s="137" t="str">
        <f>'Generalized Data'!$B$140&amp;" - "&amp;$C$227</f>
        <v>Natural gas boiler water heater - Offices (Offices, Schools/Universities, Museums etc)</v>
      </c>
      <c r="E257" s="61" t="s">
        <v>30</v>
      </c>
      <c r="F257" s="61" t="s">
        <v>31</v>
      </c>
      <c r="G257" s="61"/>
      <c r="H257" s="61"/>
    </row>
    <row r="258" spans="2:10" x14ac:dyDescent="0.2">
      <c r="B258" s="61" t="s">
        <v>439</v>
      </c>
      <c r="C258" s="61" t="str">
        <f>COM_OF!B65</f>
        <v>C_ES-WH-OF_GEO01</v>
      </c>
      <c r="D258" s="137" t="str">
        <f>'Generalized Data'!$B$141&amp;" - "&amp;$C$227</f>
        <v>Geo Heat Exchanger water heater - Offices (Offices, Schools/Universities, Museums etc)</v>
      </c>
      <c r="E258" s="61" t="s">
        <v>30</v>
      </c>
      <c r="F258" s="61" t="s">
        <v>31</v>
      </c>
      <c r="G258" s="61"/>
      <c r="H258" s="61"/>
    </row>
    <row r="259" spans="2:10" x14ac:dyDescent="0.2">
      <c r="B259" s="61" t="s">
        <v>439</v>
      </c>
      <c r="C259" s="61" t="str">
        <f>COM_OF!B66</f>
        <v>C_ES-WH-OF_LPG01</v>
      </c>
      <c r="D259" s="137" t="str">
        <f>'Generalized Data'!$B$142&amp;" - "&amp;$C$227</f>
        <v>LPG boiler water heater - Offices (Offices, Schools/Universities, Museums etc)</v>
      </c>
      <c r="E259" s="61" t="s">
        <v>30</v>
      </c>
      <c r="F259" s="61" t="s">
        <v>31</v>
      </c>
      <c r="G259" s="61"/>
      <c r="H259" s="61"/>
    </row>
    <row r="260" spans="2:10" x14ac:dyDescent="0.2">
      <c r="B260" s="61" t="s">
        <v>439</v>
      </c>
      <c r="C260" s="61" t="str">
        <f>COM_OF!B67</f>
        <v>C_ES-WH-OF_OIL01</v>
      </c>
      <c r="D260" s="137" t="str">
        <f>'Generalized Data'!$B$143&amp;" - "&amp;$C$227</f>
        <v>Oil boiler water heater - Offices (Offices, Schools/Universities, Museums etc)</v>
      </c>
      <c r="E260" s="61" t="s">
        <v>30</v>
      </c>
      <c r="F260" s="61" t="s">
        <v>31</v>
      </c>
      <c r="G260" s="61"/>
      <c r="H260" s="61"/>
    </row>
    <row r="261" spans="2:10" x14ac:dyDescent="0.2">
      <c r="B261" s="61" t="s">
        <v>439</v>
      </c>
      <c r="C261" s="61" t="str">
        <f>COM_OF!B68</f>
        <v>C_ES-WH-OF_ELC03</v>
      </c>
      <c r="D261" s="137" t="str">
        <f>'Generalized Data'!$B$144&amp;" - "&amp;$C$227</f>
        <v>Solar water heater with electricity backup - Offices (Offices, Schools/Universities, Museums etc)</v>
      </c>
      <c r="E261" s="61" t="s">
        <v>30</v>
      </c>
      <c r="F261" s="61" t="s">
        <v>31</v>
      </c>
      <c r="G261" s="61"/>
      <c r="H261" s="61"/>
    </row>
    <row r="262" spans="2:10" x14ac:dyDescent="0.2">
      <c r="B262" s="61" t="s">
        <v>439</v>
      </c>
      <c r="C262" s="61" t="str">
        <f>COM_OF!B70</f>
        <v>C_ES-WH-OF_OIL02</v>
      </c>
      <c r="D262" s="137" t="str">
        <f>'Generalized Data'!$B$145&amp;" - "&amp;$C$227</f>
        <v>Solar water heater with diesel backup - Offices (Offices, Schools/Universities, Museums etc)</v>
      </c>
      <c r="E262" s="61" t="s">
        <v>30</v>
      </c>
      <c r="F262" s="61" t="s">
        <v>31</v>
      </c>
      <c r="G262" s="61"/>
      <c r="H262" s="61"/>
    </row>
    <row r="263" spans="2:10" x14ac:dyDescent="0.2">
      <c r="B263" s="136" t="s">
        <v>439</v>
      </c>
      <c r="C263" s="136" t="str">
        <f>COM_OF!B72</f>
        <v>C_ES-WH-OF_GAS02</v>
      </c>
      <c r="D263" s="136" t="str">
        <f>'Generalized Data'!$B$146&amp;" - "&amp;$C$227</f>
        <v>Solar water heater with gas backup - Offices (Offices, Schools/Universities, Museums etc)</v>
      </c>
      <c r="E263" s="136" t="s">
        <v>30</v>
      </c>
      <c r="F263" s="136" t="s">
        <v>31</v>
      </c>
      <c r="G263" s="136"/>
      <c r="H263" s="136"/>
    </row>
    <row r="264" spans="2:10" x14ac:dyDescent="0.2">
      <c r="B264" s="61" t="s">
        <v>439</v>
      </c>
      <c r="C264" s="61" t="str">
        <f>COM_OF!B78</f>
        <v>C_ES-SC-OF_ELC01</v>
      </c>
      <c r="D264" s="61" t="str">
        <f>'Generalized Data'!$B$149&amp;" - "&amp;$C$227</f>
        <v>Room air-conditioner - Offices (Offices, Schools/Universities, Museums etc)</v>
      </c>
      <c r="E264" s="61" t="s">
        <v>30</v>
      </c>
      <c r="F264" s="61" t="s">
        <v>31</v>
      </c>
      <c r="G264" s="61"/>
      <c r="H264" s="61"/>
    </row>
    <row r="265" spans="2:10" x14ac:dyDescent="0.2">
      <c r="B265" s="61" t="s">
        <v>439</v>
      </c>
      <c r="C265" s="61" t="str">
        <f>COM_OF!B79</f>
        <v>C_ES-SC-OF_ELC02</v>
      </c>
      <c r="D265" s="137" t="str">
        <f>'Generalized Data'!$B$150&amp;" - "&amp;$C$227</f>
        <v>Air fans - Offices (Offices, Schools/Universities, Museums etc)</v>
      </c>
      <c r="E265" s="61" t="s">
        <v>30</v>
      </c>
      <c r="F265" s="61" t="s">
        <v>31</v>
      </c>
      <c r="G265" s="61"/>
      <c r="H265" s="61"/>
    </row>
    <row r="266" spans="2:10" x14ac:dyDescent="0.2">
      <c r="B266" s="61" t="s">
        <v>439</v>
      </c>
      <c r="C266" s="61" t="str">
        <f>COM_OF!B80</f>
        <v>C_ES-SC-OF_ELC03</v>
      </c>
      <c r="D266" s="137" t="str">
        <f>'Generalized Data'!$B$151&amp;" - "&amp;$C$227</f>
        <v>Roof-top central electric chiller - Offices (Offices, Schools/Universities, Museums etc)</v>
      </c>
      <c r="E266" s="61" t="s">
        <v>30</v>
      </c>
      <c r="F266" s="61" t="s">
        <v>31</v>
      </c>
      <c r="G266" s="61"/>
      <c r="H266" s="61"/>
    </row>
    <row r="267" spans="2:10" x14ac:dyDescent="0.2">
      <c r="B267" s="61" t="s">
        <v>439</v>
      </c>
      <c r="C267" s="61" t="str">
        <f>COM_OF!B81</f>
        <v>C_ES-SC-OF_ELC04</v>
      </c>
      <c r="D267" s="137" t="str">
        <f>'Generalized Data'!$B$152&amp;" - "&amp;$C$227</f>
        <v>Centralized electrical air conditioner - Offices (Offices, Schools/Universities, Museums etc)</v>
      </c>
      <c r="E267" s="61" t="s">
        <v>30</v>
      </c>
      <c r="F267" s="61" t="s">
        <v>31</v>
      </c>
      <c r="G267" s="61"/>
      <c r="H267" s="61"/>
    </row>
    <row r="268" spans="2:10" x14ac:dyDescent="0.2">
      <c r="B268" s="61" t="s">
        <v>439</v>
      </c>
      <c r="C268" s="61" t="str">
        <f>COM_OF!B82</f>
        <v>C_ES-SC-OF_ELC05</v>
      </c>
      <c r="D268" s="137" t="str">
        <f>'Generalized Data'!$B$153&amp;" - "&amp;$C$227</f>
        <v>Non-reversible electricity heat pump - Offices (Offices, Schools/Universities, Museums etc)</v>
      </c>
      <c r="E268" s="61" t="s">
        <v>30</v>
      </c>
      <c r="F268" s="61" t="s">
        <v>31</v>
      </c>
      <c r="G268" s="61"/>
      <c r="H268" s="61"/>
    </row>
    <row r="269" spans="2:10" x14ac:dyDescent="0.2">
      <c r="B269" s="61" t="s">
        <v>439</v>
      </c>
      <c r="C269" s="61" t="str">
        <f>COM_OF!B83</f>
        <v>C_ES-SC-OF_GAS01</v>
      </c>
      <c r="D269" s="137" t="str">
        <f>'Generalized Data'!$B$154&amp;" - "&amp;$C$227</f>
        <v>Centralized gas air conditioner - Offices (Offices, Schools/Universities, Museums etc)</v>
      </c>
      <c r="E269" s="61" t="s">
        <v>30</v>
      </c>
      <c r="F269" s="61" t="s">
        <v>31</v>
      </c>
      <c r="G269" s="61"/>
      <c r="H269" s="61"/>
    </row>
    <row r="270" spans="2:10" x14ac:dyDescent="0.2">
      <c r="B270" s="61" t="s">
        <v>439</v>
      </c>
      <c r="C270" s="61" t="str">
        <f>COM_OF!B84</f>
        <v>C_ES-SC-OF_GAS02</v>
      </c>
      <c r="D270" s="136" t="str">
        <f>'Generalized Data'!$B$155&amp;" - "&amp;$C$227</f>
        <v>Non reversible gas heat pump - Offices (Offices, Schools/Universities, Museums etc)</v>
      </c>
      <c r="E270" s="61" t="s">
        <v>30</v>
      </c>
      <c r="F270" s="61" t="s">
        <v>31</v>
      </c>
      <c r="G270" s="61"/>
      <c r="H270" s="61"/>
    </row>
    <row r="271" spans="2:10" ht="14.25" x14ac:dyDescent="0.2">
      <c r="B271" s="99" t="str">
        <f>"\I:"&amp;"COMOthers"</f>
        <v>\I:COMOthers</v>
      </c>
      <c r="C271" s="99"/>
      <c r="D271" s="99"/>
      <c r="E271" s="99"/>
      <c r="F271" s="99"/>
      <c r="G271" s="99"/>
      <c r="H271" s="99"/>
    </row>
    <row r="272" spans="2:10" x14ac:dyDescent="0.2">
      <c r="B272" s="61" t="s">
        <v>439</v>
      </c>
      <c r="C272" s="61" t="str">
        <f>COM_Other!B103</f>
        <v>C_ES-CK-HO_ELC01</v>
      </c>
      <c r="D272" s="61" t="str">
        <f>'Generalized Data'!$B$157&amp;" - "&amp;$C$5</f>
        <v>Cooking electric stove - Hospital</v>
      </c>
      <c r="E272" s="61" t="s">
        <v>441</v>
      </c>
      <c r="F272" s="61" t="s">
        <v>31</v>
      </c>
      <c r="G272" s="61"/>
      <c r="H272" s="61"/>
      <c r="J272" s="30"/>
    </row>
    <row r="273" spans="2:10" x14ac:dyDescent="0.2">
      <c r="B273" s="61" t="s">
        <v>439</v>
      </c>
      <c r="C273" s="61" t="str">
        <f>COM_Other!B104</f>
        <v>C_ES-CK-HO_GAS01</v>
      </c>
      <c r="D273" s="61" t="str">
        <f>'Generalized Data'!$B$158&amp;" - "&amp;$C$5</f>
        <v>Cooking gas stove - Hospital</v>
      </c>
      <c r="E273" s="61" t="s">
        <v>441</v>
      </c>
      <c r="F273" s="61" t="s">
        <v>31</v>
      </c>
      <c r="G273" s="61"/>
      <c r="H273" s="61"/>
      <c r="J273" s="30"/>
    </row>
    <row r="274" spans="2:10" x14ac:dyDescent="0.2">
      <c r="B274" s="136" t="s">
        <v>439</v>
      </c>
      <c r="C274" s="136" t="str">
        <f>COM_Other!B105</f>
        <v>C_ES-CK-HO_LPG01</v>
      </c>
      <c r="D274" s="136" t="str">
        <f>'Generalized Data'!$B$159&amp;" - "&amp;$C$5</f>
        <v>Cooking LPG stove - Hospital</v>
      </c>
      <c r="E274" s="136" t="s">
        <v>441</v>
      </c>
      <c r="F274" s="136" t="s">
        <v>31</v>
      </c>
      <c r="G274" s="136"/>
      <c r="H274" s="136"/>
      <c r="J274" s="30"/>
    </row>
    <row r="275" spans="2:10" x14ac:dyDescent="0.2">
      <c r="B275" s="61" t="s">
        <v>439</v>
      </c>
      <c r="C275" s="61" t="str">
        <f>COM_Other!B106</f>
        <v>C_ES-CK-HR_ELC01</v>
      </c>
      <c r="D275" s="61" t="str">
        <f>'Generalized Data'!$B$157&amp;" - "&amp;$C$49</f>
        <v>Cooking electric stove - Hotels &amp; Restaurant</v>
      </c>
      <c r="E275" s="61" t="s">
        <v>441</v>
      </c>
      <c r="F275" s="61" t="s">
        <v>31</v>
      </c>
      <c r="G275" s="61"/>
      <c r="H275" s="61"/>
      <c r="J275" s="30"/>
    </row>
    <row r="276" spans="2:10" x14ac:dyDescent="0.2">
      <c r="B276" s="137" t="s">
        <v>439</v>
      </c>
      <c r="C276" s="137" t="str">
        <f>COM_Other!B107</f>
        <v>C_ES-CK-HR_GAS01</v>
      </c>
      <c r="D276" s="137" t="str">
        <f>'Generalized Data'!$B$158&amp;" - "&amp;$C$49</f>
        <v>Cooking gas stove - Hotels &amp; Restaurant</v>
      </c>
      <c r="E276" s="137" t="s">
        <v>441</v>
      </c>
      <c r="F276" s="137" t="s">
        <v>31</v>
      </c>
      <c r="G276" s="137"/>
      <c r="H276" s="137"/>
      <c r="J276" s="30"/>
    </row>
    <row r="277" spans="2:10" x14ac:dyDescent="0.2">
      <c r="B277" s="136" t="s">
        <v>439</v>
      </c>
      <c r="C277" s="136" t="str">
        <f>COM_Other!B108</f>
        <v>C_ES-CK-HR_LPG01</v>
      </c>
      <c r="D277" s="136" t="str">
        <f>'Generalized Data'!$B$159&amp;" - "&amp;$C$49</f>
        <v>Cooking LPG stove - Hotels &amp; Restaurant</v>
      </c>
      <c r="E277" s="136" t="s">
        <v>441</v>
      </c>
      <c r="F277" s="136" t="s">
        <v>31</v>
      </c>
      <c r="G277" s="136"/>
      <c r="H277" s="136"/>
      <c r="J277" s="30"/>
    </row>
    <row r="278" spans="2:10" x14ac:dyDescent="0.2">
      <c r="B278" s="61" t="s">
        <v>439</v>
      </c>
      <c r="C278" s="61" t="str">
        <f>COM_Other!B109</f>
        <v>C_ES-CK-SR_ELC01</v>
      </c>
      <c r="D278" s="61" t="str">
        <f>'Generalized Data'!$B$157&amp;" - "&amp;$C$94</f>
        <v>Cooking electric stove - Sport and Recreation</v>
      </c>
      <c r="E278" s="61" t="s">
        <v>441</v>
      </c>
      <c r="F278" s="61" t="s">
        <v>31</v>
      </c>
      <c r="G278" s="61"/>
      <c r="H278" s="61"/>
    </row>
    <row r="279" spans="2:10" x14ac:dyDescent="0.2">
      <c r="B279" s="61" t="s">
        <v>439</v>
      </c>
      <c r="C279" s="61" t="str">
        <f>COM_Other!B110</f>
        <v>C_ES-CK-SR_GAS01</v>
      </c>
      <c r="D279" s="61" t="str">
        <f>'Generalized Data'!$B$158&amp;" - "&amp;$C$94</f>
        <v>Cooking gas stove - Sport and Recreation</v>
      </c>
      <c r="E279" s="61" t="s">
        <v>441</v>
      </c>
      <c r="F279" s="61" t="s">
        <v>31</v>
      </c>
      <c r="G279" s="61"/>
      <c r="H279" s="61"/>
    </row>
    <row r="280" spans="2:10" x14ac:dyDescent="0.2">
      <c r="B280" s="136" t="s">
        <v>439</v>
      </c>
      <c r="C280" s="136" t="str">
        <f>COM_Other!B111</f>
        <v>C_ES-CK-SR_LPG01</v>
      </c>
      <c r="D280" s="136" t="str">
        <f>'Generalized Data'!$B$159&amp;" - "&amp;$C$94</f>
        <v>Cooking LPG stove - Sport and Recreation</v>
      </c>
      <c r="E280" s="136" t="s">
        <v>441</v>
      </c>
      <c r="F280" s="136" t="s">
        <v>31</v>
      </c>
      <c r="G280" s="136"/>
      <c r="H280" s="136"/>
    </row>
    <row r="281" spans="2:10" x14ac:dyDescent="0.2">
      <c r="B281" s="61" t="s">
        <v>439</v>
      </c>
      <c r="C281" s="61" t="str">
        <f>COM_Other!B112</f>
        <v>C_ES-CK-SL_ELC01</v>
      </c>
      <c r="D281" s="61" t="str">
        <f>'Generalized Data'!$B$157&amp;" - "&amp;$C$138</f>
        <v>Cooking electric stove - Shop – Large (shopping malls)</v>
      </c>
      <c r="E281" s="61" t="s">
        <v>441</v>
      </c>
      <c r="F281" s="61" t="s">
        <v>31</v>
      </c>
      <c r="G281" s="61"/>
      <c r="H281" s="61"/>
    </row>
    <row r="282" spans="2:10" x14ac:dyDescent="0.2">
      <c r="B282" s="137" t="s">
        <v>439</v>
      </c>
      <c r="C282" s="137" t="str">
        <f>COM_Other!B113</f>
        <v>C_ES-CK-SL_GAS01</v>
      </c>
      <c r="D282" s="137" t="str">
        <f>'Generalized Data'!$B$158&amp;" - "&amp;$C$138</f>
        <v>Cooking gas stove - Shop – Large (shopping malls)</v>
      </c>
      <c r="E282" s="137" t="s">
        <v>441</v>
      </c>
      <c r="F282" s="137" t="s">
        <v>31</v>
      </c>
      <c r="G282" s="137"/>
      <c r="H282" s="137"/>
    </row>
    <row r="283" spans="2:10" x14ac:dyDescent="0.2">
      <c r="B283" s="136" t="s">
        <v>439</v>
      </c>
      <c r="C283" s="136" t="str">
        <f>COM_Other!B114</f>
        <v>C_ES-CK-SL_LPG01</v>
      </c>
      <c r="D283" s="136" t="str">
        <f>'Generalized Data'!$B$159&amp;" - "&amp;$C$138</f>
        <v>Cooking LPG stove - Shop – Large (shopping malls)</v>
      </c>
      <c r="E283" s="136" t="s">
        <v>441</v>
      </c>
      <c r="F283" s="136" t="s">
        <v>31</v>
      </c>
      <c r="G283" s="136"/>
      <c r="H283" s="136"/>
    </row>
    <row r="284" spans="2:10" x14ac:dyDescent="0.2">
      <c r="B284" s="61" t="s">
        <v>439</v>
      </c>
      <c r="C284" s="61" t="str">
        <f>COM_Other!B115</f>
        <v>C_ES-CK-SS_ELC01</v>
      </c>
      <c r="D284" s="61" t="str">
        <f>'Generalized Data'!$B$157&amp;" - "&amp;$C$182</f>
        <v>Cooking electric stove - Shop – Small (shops)</v>
      </c>
      <c r="E284" s="61" t="s">
        <v>441</v>
      </c>
      <c r="F284" s="61" t="s">
        <v>31</v>
      </c>
      <c r="G284" s="61"/>
      <c r="H284" s="61"/>
    </row>
    <row r="285" spans="2:10" x14ac:dyDescent="0.2">
      <c r="B285" s="61" t="s">
        <v>439</v>
      </c>
      <c r="C285" s="61" t="str">
        <f>COM_Other!B116</f>
        <v>C_ES-CK-SS_GAS01</v>
      </c>
      <c r="D285" s="61" t="str">
        <f>'Generalized Data'!$B$158&amp;" - "&amp;$C$182</f>
        <v>Cooking gas stove - Shop – Small (shops)</v>
      </c>
      <c r="E285" s="61" t="s">
        <v>441</v>
      </c>
      <c r="F285" s="61" t="s">
        <v>31</v>
      </c>
      <c r="G285" s="61"/>
      <c r="H285" s="61"/>
    </row>
    <row r="286" spans="2:10" x14ac:dyDescent="0.2">
      <c r="B286" s="136" t="s">
        <v>439</v>
      </c>
      <c r="C286" s="136" t="str">
        <f>COM_Other!B117</f>
        <v>C_ES-CK-SS_LPG01</v>
      </c>
      <c r="D286" s="136" t="str">
        <f>'Generalized Data'!$B$159&amp;" - "&amp;$C$182</f>
        <v>Cooking LPG stove - Shop – Small (shops)</v>
      </c>
      <c r="E286" s="136" t="s">
        <v>441</v>
      </c>
      <c r="F286" s="136" t="s">
        <v>31</v>
      </c>
      <c r="G286" s="136"/>
      <c r="H286" s="136"/>
    </row>
    <row r="287" spans="2:10" x14ac:dyDescent="0.2">
      <c r="B287" s="61" t="s">
        <v>439</v>
      </c>
      <c r="C287" s="61" t="str">
        <f>COM_Other!B118</f>
        <v>C_ES-CK-OF_ELC01</v>
      </c>
      <c r="D287" s="61" t="str">
        <f>'Generalized Data'!$B$157&amp;" - "&amp;$C$227</f>
        <v>Cooking electric stove - Offices (Offices, Schools/Universities, Museums etc)</v>
      </c>
      <c r="E287" s="61" t="s">
        <v>441</v>
      </c>
      <c r="F287" s="61" t="s">
        <v>31</v>
      </c>
      <c r="G287" s="61"/>
      <c r="H287" s="61"/>
    </row>
    <row r="288" spans="2:10" x14ac:dyDescent="0.2">
      <c r="B288" s="61" t="s">
        <v>439</v>
      </c>
      <c r="C288" s="61" t="str">
        <f>COM_Other!B119</f>
        <v>C_ES-CK-OF_GAS01</v>
      </c>
      <c r="D288" s="61" t="str">
        <f>'Generalized Data'!$B$158&amp;" - "&amp;$C$227</f>
        <v>Cooking gas stove - Offices (Offices, Schools/Universities, Museums etc)</v>
      </c>
      <c r="E288" s="61" t="s">
        <v>441</v>
      </c>
      <c r="F288" s="61" t="s">
        <v>31</v>
      </c>
      <c r="G288" s="61"/>
      <c r="H288" s="61"/>
    </row>
    <row r="289" spans="1:8" ht="13.5" thickBot="1" x14ac:dyDescent="0.25">
      <c r="B289" s="138" t="s">
        <v>439</v>
      </c>
      <c r="C289" s="138" t="str">
        <f>COM_Other!B120</f>
        <v>C_ES-CK-OF_LPG01</v>
      </c>
      <c r="D289" s="138" t="str">
        <f>'Generalized Data'!$B$159&amp;" - "&amp;$C$227</f>
        <v>Cooking LPG stove - Offices (Offices, Schools/Universities, Museums etc)</v>
      </c>
      <c r="E289" s="138" t="s">
        <v>441</v>
      </c>
      <c r="F289" s="138" t="s">
        <v>31</v>
      </c>
      <c r="G289" s="138"/>
      <c r="H289" s="138"/>
    </row>
    <row r="290" spans="1:8" x14ac:dyDescent="0.2">
      <c r="B290" s="61" t="s">
        <v>439</v>
      </c>
      <c r="C290" s="61" t="str">
        <f>COM_Other!B121</f>
        <v>NRbldg_N-BuildLight1</v>
      </c>
      <c r="D290" s="61" t="str">
        <f>"Non Residential Building - Building lighting - "&amp;'Generalized Data'!B160</f>
        <v>Non Residential Building - Building lighting - Incandescent STAD lighting system</v>
      </c>
      <c r="E290" s="61" t="s">
        <v>441</v>
      </c>
      <c r="F290" s="61" t="s">
        <v>31</v>
      </c>
      <c r="G290" s="61"/>
      <c r="H290" s="61"/>
    </row>
    <row r="291" spans="1:8" x14ac:dyDescent="0.2">
      <c r="B291" s="61" t="s">
        <v>439</v>
      </c>
      <c r="C291" s="61" t="str">
        <f>COM_Other!B122</f>
        <v>NRbldg_N-BuildLight2</v>
      </c>
      <c r="D291" s="61" t="str">
        <f>"Non Residential Building - Building lighting - "&amp;'Generalized Data'!B161</f>
        <v xml:space="preserve">Non Residential Building - Building lighting - Incandescent IMP lighting system </v>
      </c>
      <c r="E291" s="61" t="s">
        <v>441</v>
      </c>
      <c r="F291" s="61" t="s">
        <v>31</v>
      </c>
      <c r="G291" s="61"/>
      <c r="H291" s="61"/>
    </row>
    <row r="292" spans="1:8" x14ac:dyDescent="0.2">
      <c r="B292" s="61" t="s">
        <v>439</v>
      </c>
      <c r="C292" s="61" t="str">
        <f>COM_Other!B123</f>
        <v>NRbldg_N-BuildLight3</v>
      </c>
      <c r="D292" s="61" t="str">
        <f>"Non Residential Building - Building lighting - "&amp;'Generalized Data'!B162</f>
        <v>Non Residential Building - Building lighting - Halogens lighting system</v>
      </c>
      <c r="E292" s="61" t="s">
        <v>441</v>
      </c>
      <c r="F292" s="61" t="s">
        <v>31</v>
      </c>
      <c r="G292" s="61"/>
      <c r="H292" s="61"/>
    </row>
    <row r="293" spans="1:8" x14ac:dyDescent="0.2">
      <c r="B293" s="61" t="s">
        <v>439</v>
      </c>
      <c r="C293" s="61" t="str">
        <f>COM_Other!B124</f>
        <v>NRbldg_N-BuildLight4</v>
      </c>
      <c r="D293" s="61" t="str">
        <f>"Non Residential Building - Building lighting - "&amp;'Generalized Data'!B163</f>
        <v>Non Residential Building - Building lighting - Fluorescent lighting system</v>
      </c>
      <c r="E293" s="61" t="s">
        <v>441</v>
      </c>
      <c r="F293" s="61" t="s">
        <v>31</v>
      </c>
      <c r="G293" s="61"/>
      <c r="H293" s="61"/>
    </row>
    <row r="294" spans="1:8" x14ac:dyDescent="0.2">
      <c r="B294" s="61" t="s">
        <v>439</v>
      </c>
      <c r="C294" s="61" t="str">
        <f>COM_Other!B125</f>
        <v>NRbldg_N-BuildTech1</v>
      </c>
      <c r="D294" s="61" t="str">
        <f>"Non Residential Building - Building technologies - "&amp;'Generalized Data'!B164</f>
        <v>Non Residential Building - Building technologies - Other Electricity Appliances.</v>
      </c>
      <c r="E294" s="61" t="s">
        <v>441</v>
      </c>
      <c r="F294" s="61" t="s">
        <v>31</v>
      </c>
      <c r="G294" s="61"/>
      <c r="H294" s="61"/>
    </row>
    <row r="295" spans="1:8" x14ac:dyDescent="0.2">
      <c r="B295" s="61" t="s">
        <v>439</v>
      </c>
      <c r="C295" s="61" t="str">
        <f>COM_Other!B126</f>
        <v>NRbldg_N-ICTM1</v>
      </c>
      <c r="D295" s="61" t="s">
        <v>445</v>
      </c>
      <c r="E295" s="64" t="s">
        <v>446</v>
      </c>
      <c r="F295" s="61" t="s">
        <v>31</v>
      </c>
      <c r="G295" s="61"/>
      <c r="H295" s="61"/>
    </row>
    <row r="296" spans="1:8" x14ac:dyDescent="0.2">
      <c r="B296" s="61" t="s">
        <v>439</v>
      </c>
      <c r="C296" s="61" t="str">
        <f>COM_Other!B127</f>
        <v>NRbldg_N-Refrig1</v>
      </c>
      <c r="D296" s="61" t="str">
        <f>"Non Residential Building - Refrigeration - "&amp;'Generalized Data'!B166</f>
        <v>Non Residential Building - Refrigeration - Refrigerators (energy class B,A)</v>
      </c>
      <c r="E296" s="64" t="s">
        <v>446</v>
      </c>
      <c r="F296" s="61" t="s">
        <v>31</v>
      </c>
      <c r="G296" s="61"/>
      <c r="H296" s="61"/>
    </row>
    <row r="297" spans="1:8" x14ac:dyDescent="0.2">
      <c r="B297" s="61" t="s">
        <v>439</v>
      </c>
      <c r="C297" s="61" t="str">
        <f>COM_Other!B128</f>
        <v>NRbldg_N-Refrig2</v>
      </c>
      <c r="D297" s="61" t="str">
        <f>"Non Residential Building - Refrigeration - "&amp;'Generalized Data'!B167</f>
        <v>Non Residential Building - Refrigeration - Refrigerators (A+, A++)</v>
      </c>
      <c r="E297" s="64" t="s">
        <v>446</v>
      </c>
      <c r="F297" s="61" t="s">
        <v>31</v>
      </c>
      <c r="G297" s="61"/>
      <c r="H297" s="61"/>
    </row>
    <row r="298" spans="1:8" x14ac:dyDescent="0.2">
      <c r="B298" s="61" t="s">
        <v>439</v>
      </c>
      <c r="C298" s="61" t="str">
        <f>COM_Other!B129</f>
        <v>NRbldg_N-Refrig3</v>
      </c>
      <c r="D298" s="61" t="str">
        <f>"Non Residential Building - Refrigeration - "&amp;'Generalized Data'!B168</f>
        <v>Non Residential Building - Refrigeration - Freezers (B,A)</v>
      </c>
      <c r="E298" s="64" t="s">
        <v>446</v>
      </c>
      <c r="F298" s="61" t="s">
        <v>31</v>
      </c>
      <c r="G298" s="61"/>
      <c r="H298" s="61"/>
    </row>
    <row r="299" spans="1:8" x14ac:dyDescent="0.2">
      <c r="B299" s="61" t="s">
        <v>439</v>
      </c>
      <c r="C299" s="61" t="str">
        <f>COM_Other!B130</f>
        <v>NRbldg_N-Refrig4</v>
      </c>
      <c r="D299" s="61" t="str">
        <f>"Non Residential Building - Refrigeration - "&amp;'Generalized Data'!B169</f>
        <v>Non Residential Building - Refrigeration - Freezers (A+,A++)</v>
      </c>
      <c r="E299" s="64" t="s">
        <v>446</v>
      </c>
      <c r="F299" s="61" t="s">
        <v>31</v>
      </c>
      <c r="G299" s="61"/>
      <c r="H299" s="61"/>
    </row>
    <row r="300" spans="1:8" x14ac:dyDescent="0.2">
      <c r="B300" s="61" t="s">
        <v>439</v>
      </c>
      <c r="C300" s="61" t="str">
        <f>COM_Other!B131</f>
        <v>NRbldg_N-StLight</v>
      </c>
      <c r="D300" s="61" t="s">
        <v>448</v>
      </c>
      <c r="E300" s="64" t="s">
        <v>446</v>
      </c>
      <c r="F300" s="61" t="s">
        <v>31</v>
      </c>
      <c r="G300" s="61"/>
      <c r="H300" s="61"/>
    </row>
    <row r="301" spans="1:8" x14ac:dyDescent="0.2">
      <c r="B301" s="61" t="s">
        <v>439</v>
      </c>
      <c r="C301" s="61" t="str">
        <f>COM_Other!B132</f>
        <v>NRbldg_N-Vent</v>
      </c>
      <c r="D301" s="61" t="s">
        <v>449</v>
      </c>
      <c r="E301" s="61" t="s">
        <v>441</v>
      </c>
      <c r="F301" s="61" t="s">
        <v>31</v>
      </c>
      <c r="G301" s="61"/>
      <c r="H301" s="61"/>
    </row>
    <row r="302" spans="1:8" ht="14.25" x14ac:dyDescent="0.2">
      <c r="B302" s="99" t="str">
        <f>"\I:"&amp;'Generalized Data'!A173</f>
        <v>\I:Fuelcell Technologies with CHP</v>
      </c>
      <c r="C302" s="99"/>
      <c r="D302" s="99"/>
      <c r="E302" s="99"/>
      <c r="F302" s="99"/>
      <c r="G302" s="99"/>
      <c r="H302" s="99"/>
    </row>
    <row r="303" spans="1:8" x14ac:dyDescent="0.2">
      <c r="A303" s="96"/>
      <c r="B303" s="61" t="s">
        <v>388</v>
      </c>
      <c r="C303" s="61" t="str">
        <f>COM_Other!B34</f>
        <v>C_ES-SP-HO_GASPEM</v>
      </c>
      <c r="D303" s="61" t="str">
        <f>'Generalized Data'!$B$175&amp;" - "&amp;$C$5</f>
        <v>Fuel cell - PEMFC - for heat and power  - Hospital</v>
      </c>
      <c r="E303" s="61" t="s">
        <v>30</v>
      </c>
      <c r="F303" s="61" t="s">
        <v>31</v>
      </c>
      <c r="G303" s="61" t="s">
        <v>8</v>
      </c>
      <c r="H303" s="61"/>
    </row>
    <row r="304" spans="1:8" x14ac:dyDescent="0.2">
      <c r="A304" s="96"/>
      <c r="B304" s="61" t="s">
        <v>388</v>
      </c>
      <c r="C304" s="61" t="str">
        <f>COM_Other!B39</f>
        <v>C_ES-SP-HO_GASSOFC</v>
      </c>
      <c r="D304" s="61" t="str">
        <f>'Generalized Data'!$B$176&amp;" - "&amp;$C$5</f>
        <v>Fuel cell - SOFC - for heat and power  - Hospital</v>
      </c>
      <c r="E304" s="61" t="s">
        <v>30</v>
      </c>
      <c r="F304" s="61" t="s">
        <v>31</v>
      </c>
      <c r="G304" s="61" t="s">
        <v>8</v>
      </c>
      <c r="H304" s="61"/>
    </row>
    <row r="305" spans="1:9" x14ac:dyDescent="0.2">
      <c r="A305" s="96"/>
      <c r="B305" s="61" t="s">
        <v>388</v>
      </c>
      <c r="C305" s="61" t="str">
        <f>COM_Other!B44</f>
        <v>C_ES-SP-HR_GASPEM</v>
      </c>
      <c r="D305" s="61" t="str">
        <f>'Generalized Data'!$B$175&amp;" - "&amp;$C$49</f>
        <v>Fuel cell - PEMFC - for heat and power  - Hotels &amp; Restaurant</v>
      </c>
      <c r="E305" s="61" t="s">
        <v>30</v>
      </c>
      <c r="F305" s="61" t="s">
        <v>31</v>
      </c>
      <c r="G305" s="61" t="s">
        <v>8</v>
      </c>
      <c r="H305" s="61"/>
    </row>
    <row r="306" spans="1:9" x14ac:dyDescent="0.2">
      <c r="A306" s="96"/>
      <c r="B306" s="61" t="s">
        <v>388</v>
      </c>
      <c r="C306" s="61" t="str">
        <f>COM_Other!B49</f>
        <v>C_ES-SP-HR_GASSOFC</v>
      </c>
      <c r="D306" s="61" t="str">
        <f>'Generalized Data'!$B$176&amp;" - "&amp;$C$49</f>
        <v>Fuel cell - SOFC - for heat and power  - Hotels &amp; Restaurant</v>
      </c>
      <c r="E306" s="61" t="s">
        <v>30</v>
      </c>
      <c r="F306" s="61" t="s">
        <v>31</v>
      </c>
      <c r="G306" s="61" t="s">
        <v>8</v>
      </c>
      <c r="H306" s="61"/>
    </row>
    <row r="307" spans="1:9" x14ac:dyDescent="0.2">
      <c r="A307" s="96"/>
      <c r="B307" s="61" t="s">
        <v>388</v>
      </c>
      <c r="C307" s="61" t="str">
        <f>COM_Other!B54</f>
        <v>C_ES-SP-SR_GASPEM</v>
      </c>
      <c r="D307" s="61" t="str">
        <f>'Generalized Data'!$B$175&amp;" - "&amp;$C$94</f>
        <v>Fuel cell - PEMFC - for heat and power  - Sport and Recreation</v>
      </c>
      <c r="E307" s="61" t="s">
        <v>30</v>
      </c>
      <c r="F307" s="61" t="s">
        <v>31</v>
      </c>
      <c r="G307" s="61" t="s">
        <v>8</v>
      </c>
      <c r="H307" s="61"/>
    </row>
    <row r="308" spans="1:9" x14ac:dyDescent="0.2">
      <c r="A308" s="96"/>
      <c r="B308" s="61" t="s">
        <v>388</v>
      </c>
      <c r="C308" s="61" t="str">
        <f>COM_Other!B59</f>
        <v>C_ES-SP-SR_GASSOFC</v>
      </c>
      <c r="D308" s="61" t="str">
        <f>'Generalized Data'!$B$176&amp;" - "&amp;$C$94</f>
        <v>Fuel cell - SOFC - for heat and power  - Sport and Recreation</v>
      </c>
      <c r="E308" s="61" t="s">
        <v>30</v>
      </c>
      <c r="F308" s="61" t="s">
        <v>31</v>
      </c>
      <c r="G308" s="61" t="s">
        <v>8</v>
      </c>
      <c r="H308" s="61"/>
    </row>
    <row r="309" spans="1:9" x14ac:dyDescent="0.2">
      <c r="A309" s="96"/>
      <c r="B309" s="61" t="s">
        <v>388</v>
      </c>
      <c r="C309" s="61" t="str">
        <f>COM_Other!B64</f>
        <v>C_ES-SP-SL_GASPEM</v>
      </c>
      <c r="D309" s="61" t="str">
        <f>'Generalized Data'!$B$175&amp;" - "&amp;$C$138</f>
        <v>Fuel cell - PEMFC - for heat and power  - Shop – Large (shopping malls)</v>
      </c>
      <c r="E309" s="61" t="s">
        <v>30</v>
      </c>
      <c r="F309" s="61" t="s">
        <v>31</v>
      </c>
      <c r="G309" s="61" t="s">
        <v>8</v>
      </c>
      <c r="H309" s="61"/>
    </row>
    <row r="310" spans="1:9" x14ac:dyDescent="0.2">
      <c r="A310" s="96"/>
      <c r="B310" s="61" t="s">
        <v>388</v>
      </c>
      <c r="C310" s="61" t="str">
        <f>COM_Other!B69</f>
        <v>C_ES-SP-SL_GASSOFC</v>
      </c>
      <c r="D310" s="61" t="str">
        <f>'Generalized Data'!$B$176&amp;" - "&amp;$C$138</f>
        <v>Fuel cell - SOFC - for heat and power  - Shop – Large (shopping malls)</v>
      </c>
      <c r="E310" s="61" t="s">
        <v>30</v>
      </c>
      <c r="F310" s="61" t="s">
        <v>31</v>
      </c>
      <c r="G310" s="61" t="s">
        <v>8</v>
      </c>
      <c r="H310" s="61"/>
    </row>
    <row r="311" spans="1:9" x14ac:dyDescent="0.2">
      <c r="A311" s="96"/>
      <c r="B311" s="61" t="s">
        <v>388</v>
      </c>
      <c r="C311" s="61" t="str">
        <f>COM_Other!B74</f>
        <v>C_ES-SP-SS_GASPEM</v>
      </c>
      <c r="D311" s="61" t="str">
        <f>'Generalized Data'!$B$175&amp;" - "&amp;$C$182</f>
        <v>Fuel cell - PEMFC - for heat and power  - Shop – Small (shops)</v>
      </c>
      <c r="E311" s="61" t="s">
        <v>30</v>
      </c>
      <c r="F311" s="61" t="s">
        <v>31</v>
      </c>
      <c r="G311" s="61" t="s">
        <v>8</v>
      </c>
      <c r="H311" s="61"/>
    </row>
    <row r="312" spans="1:9" x14ac:dyDescent="0.2">
      <c r="A312" s="96"/>
      <c r="B312" s="61" t="s">
        <v>388</v>
      </c>
      <c r="C312" s="61" t="str">
        <f>COM_Other!B79</f>
        <v>C_ES-SP-SS_GASSOFC</v>
      </c>
      <c r="D312" s="61" t="str">
        <f>'Generalized Data'!$B$176&amp;" - "&amp;$C$182</f>
        <v>Fuel cell - SOFC - for heat and power  - Shop – Small (shops)</v>
      </c>
      <c r="E312" s="61" t="s">
        <v>30</v>
      </c>
      <c r="F312" s="61" t="s">
        <v>31</v>
      </c>
      <c r="G312" s="61" t="s">
        <v>8</v>
      </c>
      <c r="H312" s="61"/>
    </row>
    <row r="313" spans="1:9" x14ac:dyDescent="0.2">
      <c r="A313" s="96"/>
      <c r="B313" s="61" t="s">
        <v>388</v>
      </c>
      <c r="C313" s="61" t="str">
        <f>COM_Other!B84</f>
        <v>C_ES-SP-OF_GASPEM</v>
      </c>
      <c r="D313" s="61" t="str">
        <f>'Generalized Data'!$B$175&amp;" - "&amp;$C$227</f>
        <v>Fuel cell - PEMFC - for heat and power  - Offices (Offices, Schools/Universities, Museums etc)</v>
      </c>
      <c r="E313" s="61" t="s">
        <v>30</v>
      </c>
      <c r="F313" s="61" t="s">
        <v>31</v>
      </c>
      <c r="G313" s="61" t="s">
        <v>8</v>
      </c>
      <c r="H313" s="61"/>
    </row>
    <row r="314" spans="1:9" x14ac:dyDescent="0.2">
      <c r="A314" s="96"/>
      <c r="B314" s="61" t="s">
        <v>388</v>
      </c>
      <c r="C314" s="61" t="str">
        <f>COM_Other!B89</f>
        <v>C_ES-SP-OF_GASSOFC</v>
      </c>
      <c r="D314" s="61" t="str">
        <f>'Generalized Data'!$B$176&amp;" - "&amp;$C$227</f>
        <v>Fuel cell - SOFC - for heat and power  - Offices (Offices, Schools/Universities, Museums etc)</v>
      </c>
      <c r="E314" s="61" t="s">
        <v>30</v>
      </c>
      <c r="F314" s="61" t="s">
        <v>31</v>
      </c>
      <c r="G314" s="61" t="s">
        <v>8</v>
      </c>
      <c r="H314" s="61"/>
    </row>
    <row r="315" spans="1:9" x14ac:dyDescent="0.2">
      <c r="A315" s="96"/>
    </row>
    <row r="316" spans="1:9" x14ac:dyDescent="0.2">
      <c r="A316" s="96"/>
    </row>
    <row r="317" spans="1:9" x14ac:dyDescent="0.2">
      <c r="A317" s="96"/>
      <c r="B317" s="62" t="s">
        <v>509</v>
      </c>
      <c r="C317" s="61"/>
      <c r="D317" s="61"/>
      <c r="E317" s="61"/>
      <c r="F317" s="61"/>
      <c r="G317" s="61"/>
      <c r="H317" s="61"/>
      <c r="I317" s="61"/>
    </row>
    <row r="318" spans="1:9" x14ac:dyDescent="0.2">
      <c r="A318" s="97"/>
      <c r="B318" s="63" t="s">
        <v>0</v>
      </c>
      <c r="C318" s="63" t="s">
        <v>1</v>
      </c>
      <c r="D318" s="63" t="s">
        <v>2</v>
      </c>
      <c r="E318" s="63" t="s">
        <v>3</v>
      </c>
      <c r="F318" s="63" t="s">
        <v>4</v>
      </c>
      <c r="G318" s="63" t="s">
        <v>5</v>
      </c>
      <c r="H318" s="63" t="s">
        <v>6</v>
      </c>
      <c r="I318" s="63" t="s">
        <v>7</v>
      </c>
    </row>
    <row r="319" spans="1:9" x14ac:dyDescent="0.2">
      <c r="A319" s="97"/>
      <c r="B319" s="64" t="s">
        <v>297</v>
      </c>
      <c r="C319" s="61" t="s">
        <v>293</v>
      </c>
      <c r="D319" s="61" t="s">
        <v>293</v>
      </c>
      <c r="E319" s="64" t="s">
        <v>31</v>
      </c>
      <c r="F319" s="61"/>
      <c r="G319" s="61" t="s">
        <v>8</v>
      </c>
      <c r="H319" s="61"/>
      <c r="I319" s="61"/>
    </row>
    <row r="320" spans="1:9" x14ac:dyDescent="0.2">
      <c r="A320" s="97"/>
      <c r="B320" s="61"/>
      <c r="C320" s="61" t="s">
        <v>34</v>
      </c>
      <c r="D320" s="61" t="s">
        <v>9</v>
      </c>
      <c r="E320" s="64" t="s">
        <v>31</v>
      </c>
      <c r="F320" s="61"/>
      <c r="G320" s="61"/>
      <c r="H320" s="61"/>
      <c r="I320" s="61"/>
    </row>
    <row r="321" spans="1:9" x14ac:dyDescent="0.2">
      <c r="A321" s="97"/>
      <c r="B321" s="61"/>
      <c r="C321" s="61" t="s">
        <v>57</v>
      </c>
      <c r="D321" s="61" t="s">
        <v>59</v>
      </c>
      <c r="E321" s="64" t="s">
        <v>31</v>
      </c>
      <c r="F321" s="61"/>
      <c r="G321" s="61"/>
      <c r="H321" s="61"/>
      <c r="I321" s="61"/>
    </row>
    <row r="322" spans="1:9" x14ac:dyDescent="0.2">
      <c r="A322" s="97"/>
    </row>
    <row r="323" spans="1:9" x14ac:dyDescent="0.2">
      <c r="A323" s="97"/>
    </row>
    <row r="324" spans="1:9" x14ac:dyDescent="0.2">
      <c r="A324" s="97"/>
    </row>
    <row r="325" spans="1:9" x14ac:dyDescent="0.2">
      <c r="A325" s="97"/>
    </row>
    <row r="326" spans="1:9" x14ac:dyDescent="0.2">
      <c r="A326" s="97"/>
    </row>
    <row r="327" spans="1:9" x14ac:dyDescent="0.2">
      <c r="A327" s="97"/>
    </row>
    <row r="328" spans="1:9" x14ac:dyDescent="0.2">
      <c r="A328" s="97"/>
    </row>
    <row r="329" spans="1:9" x14ac:dyDescent="0.2">
      <c r="A329" s="97"/>
    </row>
    <row r="330" spans="1:9" x14ac:dyDescent="0.2">
      <c r="A330" s="97"/>
    </row>
    <row r="331" spans="1:9" x14ac:dyDescent="0.2">
      <c r="A331" s="97"/>
    </row>
    <row r="332" spans="1:9" x14ac:dyDescent="0.2">
      <c r="A332" s="97"/>
    </row>
    <row r="333" spans="1:9" x14ac:dyDescent="0.2">
      <c r="A333" s="97"/>
    </row>
    <row r="334" spans="1:9" x14ac:dyDescent="0.2">
      <c r="A334" s="97"/>
    </row>
    <row r="335" spans="1:9" x14ac:dyDescent="0.2">
      <c r="A335" s="97"/>
    </row>
    <row r="336" spans="1:9" x14ac:dyDescent="0.2">
      <c r="A336" s="97"/>
    </row>
    <row r="337" spans="1:1" x14ac:dyDescent="0.2">
      <c r="A337" s="97"/>
    </row>
    <row r="338" spans="1:1" x14ac:dyDescent="0.2">
      <c r="A338" s="97"/>
    </row>
    <row r="339" spans="1:1" x14ac:dyDescent="0.2">
      <c r="A339" s="97"/>
    </row>
    <row r="340" spans="1:1" x14ac:dyDescent="0.2">
      <c r="A340" s="97"/>
    </row>
    <row r="341" spans="1:1" x14ac:dyDescent="0.2">
      <c r="A341" s="97"/>
    </row>
    <row r="342" spans="1:1" x14ac:dyDescent="0.2">
      <c r="A342" s="97"/>
    </row>
    <row r="343" spans="1:1" x14ac:dyDescent="0.2">
      <c r="A343" s="97"/>
    </row>
    <row r="344" spans="1:1" x14ac:dyDescent="0.2">
      <c r="A344" s="97"/>
    </row>
    <row r="345" spans="1:1" x14ac:dyDescent="0.2">
      <c r="A345" s="97"/>
    </row>
    <row r="346" spans="1:1" x14ac:dyDescent="0.2">
      <c r="A346" s="97"/>
    </row>
    <row r="347" spans="1:1" x14ac:dyDescent="0.2">
      <c r="A347" s="97"/>
    </row>
    <row r="348" spans="1:1" x14ac:dyDescent="0.2">
      <c r="A348" s="97"/>
    </row>
    <row r="349" spans="1:1" x14ac:dyDescent="0.2">
      <c r="A349" s="97"/>
    </row>
    <row r="350" spans="1:1" x14ac:dyDescent="0.2">
      <c r="A350" s="97"/>
    </row>
    <row r="351" spans="1:1" x14ac:dyDescent="0.2">
      <c r="A351" s="97"/>
    </row>
    <row r="352" spans="1:1" x14ac:dyDescent="0.2">
      <c r="A352" s="97"/>
    </row>
    <row r="353" spans="1:1" x14ac:dyDescent="0.2">
      <c r="A353" s="97"/>
    </row>
    <row r="354" spans="1:1" x14ac:dyDescent="0.2">
      <c r="A354" s="97"/>
    </row>
    <row r="355" spans="1:1" x14ac:dyDescent="0.2">
      <c r="A355" s="97"/>
    </row>
    <row r="356" spans="1:1" x14ac:dyDescent="0.2">
      <c r="A356" s="97"/>
    </row>
    <row r="357" spans="1:1" x14ac:dyDescent="0.2">
      <c r="A357" s="97"/>
    </row>
    <row r="358" spans="1:1" x14ac:dyDescent="0.2">
      <c r="A358" s="97"/>
    </row>
    <row r="359" spans="1:1" x14ac:dyDescent="0.2">
      <c r="A359" s="97"/>
    </row>
    <row r="360" spans="1:1" x14ac:dyDescent="0.2">
      <c r="A360" s="97"/>
    </row>
    <row r="361" spans="1:1" x14ac:dyDescent="0.2">
      <c r="A361" s="97"/>
    </row>
    <row r="362" spans="1:1" x14ac:dyDescent="0.2">
      <c r="A362" s="97"/>
    </row>
    <row r="363" spans="1:1" x14ac:dyDescent="0.2">
      <c r="A363" s="97"/>
    </row>
    <row r="364" spans="1:1" x14ac:dyDescent="0.2">
      <c r="A364" s="97"/>
    </row>
    <row r="365" spans="1:1" x14ac:dyDescent="0.2">
      <c r="A365" s="97"/>
    </row>
    <row r="366" spans="1:1" x14ac:dyDescent="0.2">
      <c r="A366" s="97"/>
    </row>
    <row r="367" spans="1:1" x14ac:dyDescent="0.2">
      <c r="A367" s="97"/>
    </row>
    <row r="368" spans="1:1" x14ac:dyDescent="0.2">
      <c r="A368" s="97"/>
    </row>
    <row r="369" spans="1:1" x14ac:dyDescent="0.2">
      <c r="A369" s="97"/>
    </row>
    <row r="370" spans="1:1" x14ac:dyDescent="0.2">
      <c r="A370" s="97"/>
    </row>
    <row r="371" spans="1:1" x14ac:dyDescent="0.2">
      <c r="A371" s="97"/>
    </row>
    <row r="372" spans="1:1" x14ac:dyDescent="0.2">
      <c r="A372" s="97"/>
    </row>
    <row r="373" spans="1:1" x14ac:dyDescent="0.2">
      <c r="A373" s="97"/>
    </row>
    <row r="374" spans="1:1" x14ac:dyDescent="0.2">
      <c r="A374" s="97"/>
    </row>
    <row r="375" spans="1:1" x14ac:dyDescent="0.2">
      <c r="A375" s="97"/>
    </row>
    <row r="376" spans="1:1" x14ac:dyDescent="0.2">
      <c r="A376" s="97"/>
    </row>
    <row r="377" spans="1:1" x14ac:dyDescent="0.2">
      <c r="A377" s="97"/>
    </row>
    <row r="378" spans="1:1" x14ac:dyDescent="0.2">
      <c r="A378" s="97"/>
    </row>
    <row r="379" spans="1:1" x14ac:dyDescent="0.2">
      <c r="A379" s="97"/>
    </row>
    <row r="380" spans="1:1" x14ac:dyDescent="0.2">
      <c r="A380" s="97"/>
    </row>
    <row r="381" spans="1:1" x14ac:dyDescent="0.2">
      <c r="A381" s="97"/>
    </row>
    <row r="382" spans="1:1" x14ac:dyDescent="0.2">
      <c r="A382" s="97"/>
    </row>
    <row r="383" spans="1:1" x14ac:dyDescent="0.2">
      <c r="A383" s="97"/>
    </row>
    <row r="384" spans="1:1" x14ac:dyDescent="0.2">
      <c r="A384" s="97"/>
    </row>
    <row r="385" spans="1:1" x14ac:dyDescent="0.2">
      <c r="A385" s="97"/>
    </row>
    <row r="386" spans="1:1" x14ac:dyDescent="0.2">
      <c r="A386" s="97"/>
    </row>
    <row r="387" spans="1:1" x14ac:dyDescent="0.2">
      <c r="A387" s="97"/>
    </row>
    <row r="388" spans="1:1" x14ac:dyDescent="0.2">
      <c r="A388" s="97"/>
    </row>
    <row r="389" spans="1:1" x14ac:dyDescent="0.2">
      <c r="A389" s="97"/>
    </row>
    <row r="390" spans="1:1" x14ac:dyDescent="0.2">
      <c r="A390" s="97"/>
    </row>
    <row r="391" spans="1:1" x14ac:dyDescent="0.2">
      <c r="A391" s="97"/>
    </row>
    <row r="392" spans="1:1" x14ac:dyDescent="0.2">
      <c r="A392" s="97"/>
    </row>
    <row r="393" spans="1:1" x14ac:dyDescent="0.2">
      <c r="A393" s="97"/>
    </row>
    <row r="394" spans="1:1" x14ac:dyDescent="0.2">
      <c r="A394" s="97"/>
    </row>
    <row r="395" spans="1:1" x14ac:dyDescent="0.2">
      <c r="A395" s="97"/>
    </row>
    <row r="396" spans="1:1" x14ac:dyDescent="0.2">
      <c r="A396" s="97"/>
    </row>
    <row r="397" spans="1:1" x14ac:dyDescent="0.2">
      <c r="A397" s="97"/>
    </row>
    <row r="398" spans="1:1" x14ac:dyDescent="0.2">
      <c r="A398" s="97"/>
    </row>
    <row r="399" spans="1:1" x14ac:dyDescent="0.2">
      <c r="A399" s="97"/>
    </row>
    <row r="400" spans="1:1" x14ac:dyDescent="0.2">
      <c r="A400" s="97"/>
    </row>
    <row r="401" spans="1:1" x14ac:dyDescent="0.2">
      <c r="A401" s="97"/>
    </row>
    <row r="402" spans="1:1" x14ac:dyDescent="0.2">
      <c r="A402" s="97"/>
    </row>
    <row r="403" spans="1:1" x14ac:dyDescent="0.2">
      <c r="A403" s="97"/>
    </row>
    <row r="404" spans="1:1" x14ac:dyDescent="0.2">
      <c r="A404" s="97"/>
    </row>
    <row r="405" spans="1:1" x14ac:dyDescent="0.2">
      <c r="A405" s="97"/>
    </row>
    <row r="406" spans="1:1" x14ac:dyDescent="0.2">
      <c r="A406" s="97"/>
    </row>
    <row r="407" spans="1:1" x14ac:dyDescent="0.2">
      <c r="A407" s="97"/>
    </row>
    <row r="408" spans="1:1" x14ac:dyDescent="0.2">
      <c r="A408" s="97"/>
    </row>
    <row r="409" spans="1:1" x14ac:dyDescent="0.2">
      <c r="A409" s="97"/>
    </row>
    <row r="410" spans="1:1" x14ac:dyDescent="0.2">
      <c r="A410" s="97"/>
    </row>
    <row r="411" spans="1:1" x14ac:dyDescent="0.2">
      <c r="A411" s="97"/>
    </row>
    <row r="412" spans="1:1" x14ac:dyDescent="0.2">
      <c r="A412" s="97"/>
    </row>
    <row r="413" spans="1:1" x14ac:dyDescent="0.2">
      <c r="A413" s="97"/>
    </row>
    <row r="414" spans="1:1" x14ac:dyDescent="0.2">
      <c r="A414" s="97"/>
    </row>
    <row r="415" spans="1:1" x14ac:dyDescent="0.2">
      <c r="A415" s="97"/>
    </row>
    <row r="416" spans="1:1" x14ac:dyDescent="0.2">
      <c r="A416" s="97"/>
    </row>
    <row r="417" spans="1:1" x14ac:dyDescent="0.2">
      <c r="A417" s="97"/>
    </row>
    <row r="418" spans="1:1" x14ac:dyDescent="0.2">
      <c r="A418" s="97"/>
    </row>
    <row r="419" spans="1:1" x14ac:dyDescent="0.2">
      <c r="A419" s="97"/>
    </row>
    <row r="420" spans="1:1" x14ac:dyDescent="0.2">
      <c r="A420" s="97"/>
    </row>
    <row r="421" spans="1:1" x14ac:dyDescent="0.2">
      <c r="A421" s="97"/>
    </row>
    <row r="422" spans="1:1" x14ac:dyDescent="0.2">
      <c r="A422" s="97"/>
    </row>
    <row r="423" spans="1:1" x14ac:dyDescent="0.2">
      <c r="A423" s="97"/>
    </row>
    <row r="424" spans="1:1" x14ac:dyDescent="0.2">
      <c r="A424" s="97"/>
    </row>
    <row r="425" spans="1:1" x14ac:dyDescent="0.2">
      <c r="A425" s="97"/>
    </row>
    <row r="426" spans="1:1" x14ac:dyDescent="0.2">
      <c r="A426" s="97"/>
    </row>
    <row r="427" spans="1:1" x14ac:dyDescent="0.2">
      <c r="A427" s="97"/>
    </row>
    <row r="428" spans="1:1" x14ac:dyDescent="0.2">
      <c r="A428" s="97"/>
    </row>
    <row r="429" spans="1:1" x14ac:dyDescent="0.2">
      <c r="A429" s="97"/>
    </row>
    <row r="430" spans="1:1" x14ac:dyDescent="0.2">
      <c r="A430" s="97"/>
    </row>
    <row r="431" spans="1:1" x14ac:dyDescent="0.2">
      <c r="A431" s="97"/>
    </row>
    <row r="432" spans="1:1" x14ac:dyDescent="0.2">
      <c r="A432" s="97"/>
    </row>
    <row r="433" spans="1:1" x14ac:dyDescent="0.2">
      <c r="A433" s="97"/>
    </row>
    <row r="434" spans="1:1" x14ac:dyDescent="0.2">
      <c r="A434" s="97"/>
    </row>
    <row r="435" spans="1:1" x14ac:dyDescent="0.2">
      <c r="A435" s="97"/>
    </row>
    <row r="436" spans="1:1" x14ac:dyDescent="0.2">
      <c r="A436" s="97"/>
    </row>
    <row r="437" spans="1:1" x14ac:dyDescent="0.2">
      <c r="A437" s="97"/>
    </row>
    <row r="438" spans="1:1" x14ac:dyDescent="0.2">
      <c r="A438" s="97"/>
    </row>
    <row r="439" spans="1:1" x14ac:dyDescent="0.2">
      <c r="A439" s="97"/>
    </row>
    <row r="440" spans="1:1" x14ac:dyDescent="0.2">
      <c r="A440" s="97"/>
    </row>
    <row r="441" spans="1:1" x14ac:dyDescent="0.2">
      <c r="A441" s="97"/>
    </row>
    <row r="442" spans="1:1" x14ac:dyDescent="0.2">
      <c r="A442" s="97"/>
    </row>
    <row r="443" spans="1:1" x14ac:dyDescent="0.2">
      <c r="A443" s="97"/>
    </row>
    <row r="444" spans="1:1" x14ac:dyDescent="0.2">
      <c r="A444" s="97"/>
    </row>
    <row r="445" spans="1:1" x14ac:dyDescent="0.2">
      <c r="A445" s="97"/>
    </row>
    <row r="446" spans="1:1" x14ac:dyDescent="0.2">
      <c r="A446" s="97"/>
    </row>
    <row r="447" spans="1:1" x14ac:dyDescent="0.2">
      <c r="A447" s="97"/>
    </row>
    <row r="448" spans="1:1" x14ac:dyDescent="0.2">
      <c r="A448" s="97"/>
    </row>
    <row r="449" spans="1:1" x14ac:dyDescent="0.2">
      <c r="A449" s="97"/>
    </row>
    <row r="450" spans="1:1" x14ac:dyDescent="0.2">
      <c r="A450" s="97"/>
    </row>
    <row r="451" spans="1:1" x14ac:dyDescent="0.2">
      <c r="A451" s="97"/>
    </row>
    <row r="452" spans="1:1" x14ac:dyDescent="0.2">
      <c r="A452" s="97"/>
    </row>
    <row r="453" spans="1:1" x14ac:dyDescent="0.2">
      <c r="A453" s="97"/>
    </row>
    <row r="454" spans="1:1" x14ac:dyDescent="0.2">
      <c r="A454" s="97"/>
    </row>
    <row r="455" spans="1:1" x14ac:dyDescent="0.2">
      <c r="A455" s="97"/>
    </row>
    <row r="456" spans="1:1" x14ac:dyDescent="0.2">
      <c r="A456" s="97"/>
    </row>
    <row r="457" spans="1:1" x14ac:dyDescent="0.2">
      <c r="A457" s="97"/>
    </row>
    <row r="458" spans="1:1" x14ac:dyDescent="0.2">
      <c r="A458" s="97"/>
    </row>
    <row r="459" spans="1:1" x14ac:dyDescent="0.2">
      <c r="A459" s="97"/>
    </row>
    <row r="460" spans="1:1" x14ac:dyDescent="0.2">
      <c r="A460" s="97"/>
    </row>
    <row r="461" spans="1:1" x14ac:dyDescent="0.2">
      <c r="A461" s="97"/>
    </row>
    <row r="462" spans="1:1" x14ac:dyDescent="0.2">
      <c r="A462" s="97"/>
    </row>
    <row r="463" spans="1:1" x14ac:dyDescent="0.2">
      <c r="A463" s="97"/>
    </row>
    <row r="464" spans="1:1" x14ac:dyDescent="0.2">
      <c r="A464" s="97"/>
    </row>
    <row r="465" spans="1:1" x14ac:dyDescent="0.2">
      <c r="A465" s="97"/>
    </row>
    <row r="466" spans="1:1" x14ac:dyDescent="0.2">
      <c r="A466" s="97"/>
    </row>
    <row r="467" spans="1:1" x14ac:dyDescent="0.2">
      <c r="A467" s="97"/>
    </row>
    <row r="468" spans="1:1" x14ac:dyDescent="0.2">
      <c r="A468" s="97"/>
    </row>
    <row r="469" spans="1:1" x14ac:dyDescent="0.2">
      <c r="A469" s="97"/>
    </row>
    <row r="470" spans="1:1" x14ac:dyDescent="0.2">
      <c r="A470" s="97"/>
    </row>
    <row r="471" spans="1:1" x14ac:dyDescent="0.2">
      <c r="A471" s="97"/>
    </row>
    <row r="472" spans="1:1" x14ac:dyDescent="0.2">
      <c r="A472" s="97"/>
    </row>
    <row r="473" spans="1:1" x14ac:dyDescent="0.2">
      <c r="A473" s="97"/>
    </row>
    <row r="474" spans="1:1" x14ac:dyDescent="0.2">
      <c r="A474" s="97"/>
    </row>
    <row r="475" spans="1:1" x14ac:dyDescent="0.2">
      <c r="A475" s="97"/>
    </row>
    <row r="476" spans="1:1" x14ac:dyDescent="0.2">
      <c r="A476" s="97"/>
    </row>
    <row r="477" spans="1:1" x14ac:dyDescent="0.2">
      <c r="A477" s="97"/>
    </row>
    <row r="478" spans="1:1" x14ac:dyDescent="0.2">
      <c r="A478" s="97"/>
    </row>
    <row r="479" spans="1:1" x14ac:dyDescent="0.2">
      <c r="A479" s="97"/>
    </row>
    <row r="480" spans="1:1" x14ac:dyDescent="0.2">
      <c r="A480" s="97"/>
    </row>
    <row r="481" spans="1:1" x14ac:dyDescent="0.2">
      <c r="A481" s="97"/>
    </row>
    <row r="482" spans="1:1" x14ac:dyDescent="0.2">
      <c r="A482" s="97"/>
    </row>
    <row r="483" spans="1:1" x14ac:dyDescent="0.2">
      <c r="A483" s="97"/>
    </row>
    <row r="484" spans="1:1" x14ac:dyDescent="0.2">
      <c r="A484" s="97"/>
    </row>
    <row r="485" spans="1:1" x14ac:dyDescent="0.2">
      <c r="A485" s="97"/>
    </row>
    <row r="486" spans="1:1" x14ac:dyDescent="0.2">
      <c r="A486" s="97"/>
    </row>
    <row r="487" spans="1:1" x14ac:dyDescent="0.2">
      <c r="A487" s="97"/>
    </row>
    <row r="488" spans="1:1" x14ac:dyDescent="0.2">
      <c r="A488" s="97"/>
    </row>
    <row r="489" spans="1:1" x14ac:dyDescent="0.2">
      <c r="A489" s="97"/>
    </row>
    <row r="490" spans="1:1" x14ac:dyDescent="0.2">
      <c r="A490" s="97"/>
    </row>
    <row r="491" spans="1:1" x14ac:dyDescent="0.2">
      <c r="A491" s="97"/>
    </row>
    <row r="492" spans="1:1" x14ac:dyDescent="0.2">
      <c r="A492" s="97"/>
    </row>
    <row r="493" spans="1:1" x14ac:dyDescent="0.2">
      <c r="A493" s="97"/>
    </row>
    <row r="494" spans="1:1" x14ac:dyDescent="0.2">
      <c r="A494" s="97"/>
    </row>
    <row r="495" spans="1:1" x14ac:dyDescent="0.2">
      <c r="A495" s="97"/>
    </row>
    <row r="496" spans="1:1" x14ac:dyDescent="0.2">
      <c r="A496" s="97"/>
    </row>
    <row r="497" spans="1:1" x14ac:dyDescent="0.2">
      <c r="A497" s="97"/>
    </row>
    <row r="498" spans="1:1" x14ac:dyDescent="0.2">
      <c r="A498" s="97"/>
    </row>
    <row r="499" spans="1:1" x14ac:dyDescent="0.2">
      <c r="A499" s="97"/>
    </row>
    <row r="500" spans="1:1" x14ac:dyDescent="0.2">
      <c r="A500" s="97"/>
    </row>
    <row r="501" spans="1:1" x14ac:dyDescent="0.2">
      <c r="A501" s="97"/>
    </row>
    <row r="502" spans="1:1" x14ac:dyDescent="0.2">
      <c r="A502" s="97"/>
    </row>
    <row r="503" spans="1:1" x14ac:dyDescent="0.2">
      <c r="A503" s="97"/>
    </row>
    <row r="504" spans="1:1" x14ac:dyDescent="0.2">
      <c r="A504" s="97"/>
    </row>
    <row r="505" spans="1:1" x14ac:dyDescent="0.2">
      <c r="A505" s="97"/>
    </row>
    <row r="506" spans="1:1" x14ac:dyDescent="0.2">
      <c r="A506" s="97"/>
    </row>
    <row r="507" spans="1:1" x14ac:dyDescent="0.2">
      <c r="A507" s="97"/>
    </row>
    <row r="508" spans="1:1" x14ac:dyDescent="0.2">
      <c r="A508" s="97"/>
    </row>
    <row r="509" spans="1:1" x14ac:dyDescent="0.2">
      <c r="A509" s="97"/>
    </row>
    <row r="510" spans="1:1" x14ac:dyDescent="0.2">
      <c r="A510" s="97"/>
    </row>
    <row r="511" spans="1:1" x14ac:dyDescent="0.2">
      <c r="A511" s="97"/>
    </row>
    <row r="512" spans="1:1" x14ac:dyDescent="0.2">
      <c r="A512" s="97"/>
    </row>
    <row r="513" spans="1:1" x14ac:dyDescent="0.2">
      <c r="A513" s="97"/>
    </row>
    <row r="514" spans="1:1" ht="15" customHeight="1" x14ac:dyDescent="0.2">
      <c r="A514" s="97"/>
    </row>
    <row r="515" spans="1:1" x14ac:dyDescent="0.2">
      <c r="A515" s="97"/>
    </row>
    <row r="516" spans="1:1" x14ac:dyDescent="0.2">
      <c r="A516" s="97"/>
    </row>
    <row r="517" spans="1:1" x14ac:dyDescent="0.2">
      <c r="A517" s="97"/>
    </row>
    <row r="518" spans="1:1" x14ac:dyDescent="0.2">
      <c r="A518" s="97"/>
    </row>
    <row r="519" spans="1:1" x14ac:dyDescent="0.2">
      <c r="A519" s="97"/>
    </row>
    <row r="520" spans="1:1" x14ac:dyDescent="0.2">
      <c r="A520" s="97"/>
    </row>
    <row r="521" spans="1:1" x14ac:dyDescent="0.2">
      <c r="A521" s="97"/>
    </row>
    <row r="522" spans="1:1" x14ac:dyDescent="0.2">
      <c r="A522" s="97"/>
    </row>
    <row r="523" spans="1:1" x14ac:dyDescent="0.2">
      <c r="A523" s="97"/>
    </row>
    <row r="524" spans="1:1" x14ac:dyDescent="0.2">
      <c r="A524" s="97"/>
    </row>
    <row r="525" spans="1:1" ht="15" customHeight="1" x14ac:dyDescent="0.2">
      <c r="A525" s="97"/>
    </row>
    <row r="526" spans="1:1" x14ac:dyDescent="0.2">
      <c r="A526" s="97"/>
    </row>
    <row r="527" spans="1:1" x14ac:dyDescent="0.2">
      <c r="A527" s="97"/>
    </row>
    <row r="528" spans="1:1" x14ac:dyDescent="0.2">
      <c r="A528" s="97"/>
    </row>
    <row r="529" spans="1:1" x14ac:dyDescent="0.2">
      <c r="A529" s="97"/>
    </row>
    <row r="530" spans="1:1" x14ac:dyDescent="0.2">
      <c r="A530" s="97"/>
    </row>
    <row r="531" spans="1:1" x14ac:dyDescent="0.2">
      <c r="A531" s="97"/>
    </row>
    <row r="532" spans="1:1" x14ac:dyDescent="0.2">
      <c r="A532" s="97"/>
    </row>
    <row r="533" spans="1:1" x14ac:dyDescent="0.2">
      <c r="A533" s="97"/>
    </row>
    <row r="534" spans="1:1" x14ac:dyDescent="0.2">
      <c r="A534" s="97"/>
    </row>
    <row r="535" spans="1:1" x14ac:dyDescent="0.2">
      <c r="A535" s="97"/>
    </row>
    <row r="536" spans="1:1" ht="15" customHeight="1" x14ac:dyDescent="0.2">
      <c r="A536" s="97"/>
    </row>
    <row r="537" spans="1:1" x14ac:dyDescent="0.2">
      <c r="A537" s="97"/>
    </row>
    <row r="538" spans="1:1" x14ac:dyDescent="0.2">
      <c r="A538" s="97"/>
    </row>
    <row r="539" spans="1:1" x14ac:dyDescent="0.2">
      <c r="A539" s="97"/>
    </row>
    <row r="540" spans="1:1" x14ac:dyDescent="0.2">
      <c r="A540" s="97"/>
    </row>
    <row r="541" spans="1:1" x14ac:dyDescent="0.2">
      <c r="A541" s="97"/>
    </row>
    <row r="542" spans="1:1" x14ac:dyDescent="0.2">
      <c r="A542" s="97"/>
    </row>
    <row r="543" spans="1:1" x14ac:dyDescent="0.2">
      <c r="A543" s="97"/>
    </row>
    <row r="544" spans="1:1" x14ac:dyDescent="0.2">
      <c r="A544" s="97"/>
    </row>
    <row r="545" spans="1:1" x14ac:dyDescent="0.2">
      <c r="A545" s="97"/>
    </row>
    <row r="546" spans="1:1" x14ac:dyDescent="0.2">
      <c r="A546" s="97"/>
    </row>
    <row r="547" spans="1:1" ht="15" customHeight="1" x14ac:dyDescent="0.2">
      <c r="A547" s="97"/>
    </row>
    <row r="548" spans="1:1" x14ac:dyDescent="0.2">
      <c r="A548" s="97"/>
    </row>
    <row r="549" spans="1:1" x14ac:dyDescent="0.2">
      <c r="A549" s="97"/>
    </row>
    <row r="550" spans="1:1" x14ac:dyDescent="0.2">
      <c r="A550" s="97"/>
    </row>
    <row r="551" spans="1:1" x14ac:dyDescent="0.2">
      <c r="A551" s="97"/>
    </row>
    <row r="552" spans="1:1" x14ac:dyDescent="0.2">
      <c r="A552" s="97"/>
    </row>
    <row r="553" spans="1:1" x14ac:dyDescent="0.2">
      <c r="A553" s="97"/>
    </row>
    <row r="554" spans="1:1" x14ac:dyDescent="0.2">
      <c r="A554" s="97"/>
    </row>
    <row r="555" spans="1:1" x14ac:dyDescent="0.2">
      <c r="A555" s="97"/>
    </row>
    <row r="556" spans="1:1" x14ac:dyDescent="0.2">
      <c r="A556" s="97"/>
    </row>
    <row r="557" spans="1:1" x14ac:dyDescent="0.2">
      <c r="A557" s="97"/>
    </row>
    <row r="558" spans="1:1" ht="15" customHeight="1" x14ac:dyDescent="0.2">
      <c r="A558" s="97"/>
    </row>
    <row r="559" spans="1:1" x14ac:dyDescent="0.2">
      <c r="A559" s="97"/>
    </row>
    <row r="560" spans="1:1" x14ac:dyDescent="0.2">
      <c r="A560" s="97"/>
    </row>
    <row r="561" spans="1:1" x14ac:dyDescent="0.2">
      <c r="A561" s="97"/>
    </row>
    <row r="562" spans="1:1" x14ac:dyDescent="0.2">
      <c r="A562" s="97"/>
    </row>
    <row r="563" spans="1:1" x14ac:dyDescent="0.2">
      <c r="A563" s="97"/>
    </row>
    <row r="564" spans="1:1" x14ac:dyDescent="0.2">
      <c r="A564" s="97"/>
    </row>
    <row r="565" spans="1:1" x14ac:dyDescent="0.2">
      <c r="A565" s="97"/>
    </row>
    <row r="566" spans="1:1" x14ac:dyDescent="0.2">
      <c r="A566" s="97"/>
    </row>
    <row r="567" spans="1:1" x14ac:dyDescent="0.2">
      <c r="A567" s="97"/>
    </row>
    <row r="568" spans="1:1" x14ac:dyDescent="0.2">
      <c r="A568" s="97"/>
    </row>
    <row r="569" spans="1:1" ht="15" customHeight="1" x14ac:dyDescent="0.2">
      <c r="A569" s="97"/>
    </row>
    <row r="570" spans="1:1" x14ac:dyDescent="0.2">
      <c r="A570" s="97"/>
    </row>
    <row r="571" spans="1:1" x14ac:dyDescent="0.2">
      <c r="A571" s="97"/>
    </row>
    <row r="572" spans="1:1" x14ac:dyDescent="0.2">
      <c r="A572" s="97"/>
    </row>
    <row r="573" spans="1:1" x14ac:dyDescent="0.2">
      <c r="A573" s="97"/>
    </row>
    <row r="574" spans="1:1" x14ac:dyDescent="0.2">
      <c r="A574" s="97"/>
    </row>
    <row r="575" spans="1:1" x14ac:dyDescent="0.2">
      <c r="A575" s="97"/>
    </row>
    <row r="576" spans="1:1" x14ac:dyDescent="0.2">
      <c r="A576" s="97"/>
    </row>
    <row r="577" spans="1:1" x14ac:dyDescent="0.2">
      <c r="A577" s="97"/>
    </row>
    <row r="578" spans="1:1" x14ac:dyDescent="0.2">
      <c r="A578" s="97"/>
    </row>
    <row r="579" spans="1:1" x14ac:dyDescent="0.2">
      <c r="A579" s="97"/>
    </row>
    <row r="580" spans="1:1" x14ac:dyDescent="0.2">
      <c r="A580" s="97"/>
    </row>
    <row r="581" spans="1:1" x14ac:dyDescent="0.2">
      <c r="A581" s="97"/>
    </row>
    <row r="582" spans="1:1" x14ac:dyDescent="0.2">
      <c r="A582" s="97"/>
    </row>
    <row r="583" spans="1:1" x14ac:dyDescent="0.2">
      <c r="A583" s="97"/>
    </row>
    <row r="584" spans="1:1" x14ac:dyDescent="0.2">
      <c r="A584" s="97"/>
    </row>
    <row r="585" spans="1:1" x14ac:dyDescent="0.2">
      <c r="A585" s="97"/>
    </row>
    <row r="586" spans="1:1" x14ac:dyDescent="0.2">
      <c r="A586" s="97"/>
    </row>
    <row r="587" spans="1:1" x14ac:dyDescent="0.2">
      <c r="A587" s="97"/>
    </row>
    <row r="588" spans="1:1" x14ac:dyDescent="0.2">
      <c r="A588" s="97"/>
    </row>
    <row r="589" spans="1:1" x14ac:dyDescent="0.2">
      <c r="A589" s="97"/>
    </row>
    <row r="590" spans="1:1" x14ac:dyDescent="0.2">
      <c r="A590" s="97"/>
    </row>
    <row r="591" spans="1:1" x14ac:dyDescent="0.2">
      <c r="A591" s="97"/>
    </row>
    <row r="592" spans="1:1" x14ac:dyDescent="0.2">
      <c r="A592" s="97"/>
    </row>
    <row r="593" spans="1:1" x14ac:dyDescent="0.2">
      <c r="A593" s="97"/>
    </row>
    <row r="594" spans="1:1" x14ac:dyDescent="0.2">
      <c r="A594" s="97"/>
    </row>
    <row r="595" spans="1:1" x14ac:dyDescent="0.2">
      <c r="A595" s="97"/>
    </row>
    <row r="596" spans="1:1" x14ac:dyDescent="0.2">
      <c r="A596" s="97"/>
    </row>
    <row r="597" spans="1:1" x14ac:dyDescent="0.2">
      <c r="A597" s="97"/>
    </row>
    <row r="598" spans="1:1" x14ac:dyDescent="0.2">
      <c r="A598" s="97"/>
    </row>
    <row r="599" spans="1:1" x14ac:dyDescent="0.2">
      <c r="A599" s="97"/>
    </row>
    <row r="600" spans="1:1" x14ac:dyDescent="0.2">
      <c r="A600" s="97"/>
    </row>
    <row r="601" spans="1:1" x14ac:dyDescent="0.2">
      <c r="A601" s="97"/>
    </row>
    <row r="602" spans="1:1" x14ac:dyDescent="0.2">
      <c r="A602" s="97"/>
    </row>
    <row r="603" spans="1:1" x14ac:dyDescent="0.2">
      <c r="A603" s="97"/>
    </row>
    <row r="604" spans="1:1" x14ac:dyDescent="0.2">
      <c r="A604" s="97"/>
    </row>
    <row r="605" spans="1:1" x14ac:dyDescent="0.2">
      <c r="A605" s="97"/>
    </row>
    <row r="606" spans="1:1" x14ac:dyDescent="0.2">
      <c r="A606" s="97"/>
    </row>
    <row r="607" spans="1:1" x14ac:dyDescent="0.2">
      <c r="A607" s="97"/>
    </row>
    <row r="608" spans="1:1" x14ac:dyDescent="0.2">
      <c r="A608" s="97"/>
    </row>
    <row r="609" spans="1:1" x14ac:dyDescent="0.2">
      <c r="A609" s="97"/>
    </row>
    <row r="610" spans="1:1" x14ac:dyDescent="0.2">
      <c r="A610" s="97"/>
    </row>
    <row r="611" spans="1:1" x14ac:dyDescent="0.2">
      <c r="A611" s="97"/>
    </row>
    <row r="612" spans="1:1" x14ac:dyDescent="0.2">
      <c r="A612" s="97"/>
    </row>
    <row r="613" spans="1:1" x14ac:dyDescent="0.2">
      <c r="A613" s="97"/>
    </row>
    <row r="614" spans="1:1" x14ac:dyDescent="0.2">
      <c r="A614" s="97"/>
    </row>
    <row r="615" spans="1:1" x14ac:dyDescent="0.2">
      <c r="A615" s="97"/>
    </row>
    <row r="616" spans="1:1" x14ac:dyDescent="0.2">
      <c r="A616" s="97"/>
    </row>
    <row r="617" spans="1:1" x14ac:dyDescent="0.2">
      <c r="A617" s="97"/>
    </row>
    <row r="618" spans="1:1" x14ac:dyDescent="0.2">
      <c r="A618" s="97"/>
    </row>
    <row r="619" spans="1:1" x14ac:dyDescent="0.2">
      <c r="A619" s="97"/>
    </row>
    <row r="620" spans="1:1" x14ac:dyDescent="0.2">
      <c r="A620" s="97"/>
    </row>
    <row r="621" spans="1:1" x14ac:dyDescent="0.2">
      <c r="A621" s="97"/>
    </row>
    <row r="622" spans="1:1" x14ac:dyDescent="0.2">
      <c r="A622" s="97"/>
    </row>
    <row r="623" spans="1:1" x14ac:dyDescent="0.2">
      <c r="A623" s="97"/>
    </row>
    <row r="624" spans="1:1" x14ac:dyDescent="0.2">
      <c r="A624" s="97"/>
    </row>
    <row r="625" spans="1:1" x14ac:dyDescent="0.2">
      <c r="A625" s="97"/>
    </row>
    <row r="626" spans="1:1" x14ac:dyDescent="0.2">
      <c r="A626" s="97"/>
    </row>
    <row r="627" spans="1:1" x14ac:dyDescent="0.2">
      <c r="A627" s="97"/>
    </row>
    <row r="628" spans="1:1" x14ac:dyDescent="0.2">
      <c r="A628" s="97"/>
    </row>
    <row r="629" spans="1:1" x14ac:dyDescent="0.2">
      <c r="A629" s="97"/>
    </row>
    <row r="630" spans="1:1" x14ac:dyDescent="0.2">
      <c r="A630" s="97"/>
    </row>
    <row r="631" spans="1:1" x14ac:dyDescent="0.2">
      <c r="A631" s="97"/>
    </row>
    <row r="632" spans="1:1" x14ac:dyDescent="0.2">
      <c r="A632" s="97"/>
    </row>
    <row r="633" spans="1:1" x14ac:dyDescent="0.2">
      <c r="A633" s="97"/>
    </row>
    <row r="634" spans="1:1" x14ac:dyDescent="0.2">
      <c r="A634" s="97"/>
    </row>
    <row r="635" spans="1:1" x14ac:dyDescent="0.2">
      <c r="A635" s="97"/>
    </row>
    <row r="636" spans="1:1" x14ac:dyDescent="0.2">
      <c r="A636" s="97"/>
    </row>
    <row r="637" spans="1:1" x14ac:dyDescent="0.2">
      <c r="A637" s="97"/>
    </row>
    <row r="638" spans="1:1" x14ac:dyDescent="0.2">
      <c r="A638" s="97"/>
    </row>
    <row r="639" spans="1:1" x14ac:dyDescent="0.2">
      <c r="A639" s="97"/>
    </row>
    <row r="640" spans="1:1" x14ac:dyDescent="0.2">
      <c r="A640" s="97"/>
    </row>
    <row r="641" spans="1:1" x14ac:dyDescent="0.2">
      <c r="A641" s="97"/>
    </row>
    <row r="642" spans="1:1" x14ac:dyDescent="0.2">
      <c r="A642" s="97"/>
    </row>
    <row r="643" spans="1:1" x14ac:dyDescent="0.2">
      <c r="A643" s="97"/>
    </row>
    <row r="644" spans="1:1" x14ac:dyDescent="0.2">
      <c r="A644" s="97"/>
    </row>
    <row r="645" spans="1:1" x14ac:dyDescent="0.2">
      <c r="A645" s="97"/>
    </row>
    <row r="646" spans="1:1" x14ac:dyDescent="0.2">
      <c r="A646" s="97"/>
    </row>
    <row r="647" spans="1:1" x14ac:dyDescent="0.2">
      <c r="A647" s="97"/>
    </row>
    <row r="648" spans="1:1" x14ac:dyDescent="0.2">
      <c r="A648" s="97" t="s">
        <v>315</v>
      </c>
    </row>
    <row r="649" spans="1:1" x14ac:dyDescent="0.2">
      <c r="A649" s="97" t="s">
        <v>315</v>
      </c>
    </row>
    <row r="650" spans="1:1" x14ac:dyDescent="0.2">
      <c r="A650" s="97" t="s">
        <v>315</v>
      </c>
    </row>
    <row r="651" spans="1:1" x14ac:dyDescent="0.2">
      <c r="A651" s="97" t="s">
        <v>315</v>
      </c>
    </row>
    <row r="652" spans="1:1" x14ac:dyDescent="0.2">
      <c r="A652" s="97" t="s">
        <v>315</v>
      </c>
    </row>
    <row r="653" spans="1:1" x14ac:dyDescent="0.2">
      <c r="A653" s="97" t="s">
        <v>315</v>
      </c>
    </row>
    <row r="654" spans="1:1" x14ac:dyDescent="0.2">
      <c r="A654" s="97"/>
    </row>
    <row r="655" spans="1:1" x14ac:dyDescent="0.2">
      <c r="A655" s="97"/>
    </row>
    <row r="656" spans="1:1" x14ac:dyDescent="0.2">
      <c r="A656" s="97"/>
    </row>
    <row r="657" spans="1:32" x14ac:dyDescent="0.2">
      <c r="A657" s="97"/>
    </row>
    <row r="658" spans="1:32" x14ac:dyDescent="0.2">
      <c r="A658" s="97"/>
    </row>
    <row r="659" spans="1:32" x14ac:dyDescent="0.2">
      <c r="A659" s="97"/>
    </row>
    <row r="660" spans="1:32" x14ac:dyDescent="0.2">
      <c r="A660" s="97"/>
    </row>
    <row r="663" spans="1:32" x14ac:dyDescent="0.2">
      <c r="B663" s="2"/>
      <c r="C663" s="3"/>
      <c r="D663" s="4"/>
      <c r="E663" s="5"/>
      <c r="F663" s="2"/>
      <c r="AF663" s="5"/>
    </row>
    <row r="664" spans="1:32" x14ac:dyDescent="0.2">
      <c r="B664" s="2"/>
      <c r="C664" s="3"/>
      <c r="D664" s="4"/>
      <c r="E664" s="5"/>
      <c r="F664" s="2"/>
      <c r="AF664" s="5"/>
    </row>
    <row r="665" spans="1:32" x14ac:dyDescent="0.2">
      <c r="B665" s="2"/>
      <c r="C665" s="3"/>
      <c r="D665" s="4"/>
      <c r="E665" s="5"/>
      <c r="F665" s="2"/>
      <c r="AF665" s="5"/>
    </row>
    <row r="666" spans="1:32" x14ac:dyDescent="0.2">
      <c r="B666" s="2"/>
      <c r="C666" s="3"/>
      <c r="D666" s="4"/>
      <c r="E666" s="5"/>
      <c r="F666" s="2"/>
      <c r="AF666" s="5"/>
    </row>
    <row r="667" spans="1:32" x14ac:dyDescent="0.2">
      <c r="B667" s="2"/>
      <c r="C667" s="3"/>
      <c r="D667" s="4"/>
      <c r="E667" s="5"/>
      <c r="F667" s="2"/>
      <c r="AF667" s="5"/>
    </row>
    <row r="668" spans="1:32" x14ac:dyDescent="0.2">
      <c r="B668" s="2"/>
      <c r="C668" s="3"/>
      <c r="D668" s="4"/>
      <c r="E668" s="5"/>
      <c r="F668" s="2"/>
      <c r="AF668" s="5"/>
    </row>
    <row r="669" spans="1:32" x14ac:dyDescent="0.2">
      <c r="B669" s="2"/>
      <c r="C669" s="3"/>
      <c r="D669" s="4"/>
      <c r="E669" s="5"/>
      <c r="F669" s="2"/>
      <c r="AF669" s="5"/>
    </row>
    <row r="670" spans="1:32" x14ac:dyDescent="0.2">
      <c r="B670" s="2"/>
      <c r="C670" s="3"/>
      <c r="D670" s="4"/>
      <c r="E670" s="5"/>
      <c r="F670" s="2"/>
      <c r="AF670" s="5"/>
    </row>
    <row r="671" spans="1:32" x14ac:dyDescent="0.2">
      <c r="B671" s="2"/>
      <c r="C671" s="3"/>
      <c r="D671" s="4"/>
      <c r="E671" s="5"/>
      <c r="F671" s="2"/>
      <c r="AF671" s="5"/>
    </row>
    <row r="672" spans="1:32" x14ac:dyDescent="0.2">
      <c r="B672" s="2"/>
      <c r="C672" s="3"/>
      <c r="D672" s="4"/>
      <c r="E672" s="5"/>
      <c r="F672" s="2"/>
      <c r="AF672" s="5"/>
    </row>
    <row r="673" spans="2:32" x14ac:dyDescent="0.2">
      <c r="B673" s="2"/>
      <c r="C673" s="3"/>
      <c r="D673" s="4"/>
      <c r="E673" s="5"/>
      <c r="F673" s="2"/>
      <c r="AF673" s="5"/>
    </row>
    <row r="674" spans="2:32" x14ac:dyDescent="0.2">
      <c r="B674" s="2"/>
      <c r="C674" s="3"/>
      <c r="D674" s="4"/>
      <c r="E674" s="5"/>
      <c r="F674" s="2"/>
      <c r="AF674" s="5"/>
    </row>
    <row r="675" spans="2:32" x14ac:dyDescent="0.2">
      <c r="B675" s="2"/>
      <c r="C675" s="3"/>
      <c r="D675" s="4"/>
      <c r="E675" s="5"/>
      <c r="F675" s="2"/>
      <c r="AF675" s="5"/>
    </row>
    <row r="676" spans="2:32" x14ac:dyDescent="0.2">
      <c r="B676" s="2"/>
      <c r="C676" s="3"/>
      <c r="D676" s="4"/>
      <c r="E676" s="5"/>
      <c r="F676" s="2"/>
      <c r="AF676" s="5"/>
    </row>
    <row r="677" spans="2:32" x14ac:dyDescent="0.2">
      <c r="B677" s="2"/>
      <c r="C677" s="3"/>
      <c r="D677" s="4"/>
      <c r="E677" s="5"/>
      <c r="F677" s="2"/>
      <c r="AF677" s="5"/>
    </row>
    <row r="678" spans="2:32" x14ac:dyDescent="0.2">
      <c r="B678" s="2"/>
      <c r="C678" s="3"/>
      <c r="D678" s="4"/>
      <c r="E678" s="5"/>
      <c r="F678" s="2"/>
      <c r="AF678" s="5"/>
    </row>
    <row r="679" spans="2:32" x14ac:dyDescent="0.2">
      <c r="B679" s="2"/>
      <c r="C679" s="3"/>
      <c r="D679" s="4"/>
      <c r="E679" s="5"/>
      <c r="F679" s="2"/>
      <c r="AF679" s="5"/>
    </row>
    <row r="680" spans="2:32" x14ac:dyDescent="0.2">
      <c r="B680" s="2"/>
      <c r="C680" s="3"/>
      <c r="D680" s="4"/>
      <c r="E680" s="5"/>
      <c r="F680" s="2"/>
      <c r="AF680" s="5"/>
    </row>
    <row r="681" spans="2:32" x14ac:dyDescent="0.2">
      <c r="B681" s="2"/>
      <c r="C681" s="3"/>
      <c r="D681" s="4"/>
      <c r="E681" s="5"/>
      <c r="F681" s="2"/>
      <c r="AF681" s="5"/>
    </row>
    <row r="682" spans="2:32" x14ac:dyDescent="0.2">
      <c r="B682" s="2"/>
      <c r="C682" s="3"/>
      <c r="D682" s="4"/>
      <c r="E682" s="5"/>
      <c r="F682" s="2"/>
      <c r="AF682" s="5"/>
    </row>
    <row r="683" spans="2:32" x14ac:dyDescent="0.2">
      <c r="B683" s="2"/>
      <c r="C683" s="3"/>
      <c r="D683" s="4"/>
      <c r="E683" s="5"/>
      <c r="F683" s="2"/>
      <c r="AF683" s="5"/>
    </row>
    <row r="684" spans="2:32" x14ac:dyDescent="0.2">
      <c r="B684" s="2"/>
      <c r="C684" s="3"/>
      <c r="D684" s="4"/>
      <c r="E684" s="5"/>
      <c r="F684" s="2"/>
      <c r="AF684" s="5"/>
    </row>
    <row r="685" spans="2:32" x14ac:dyDescent="0.2">
      <c r="B685" s="2"/>
      <c r="C685" s="3"/>
      <c r="D685" s="4"/>
      <c r="E685" s="5"/>
      <c r="F685" s="2"/>
      <c r="AF685" s="5"/>
    </row>
    <row r="686" spans="2:32" x14ac:dyDescent="0.2">
      <c r="B686" s="2"/>
      <c r="C686" s="3"/>
      <c r="D686" s="4"/>
      <c r="E686" s="5"/>
      <c r="F686" s="2"/>
      <c r="AF686" s="5"/>
    </row>
    <row r="687" spans="2:32" x14ac:dyDescent="0.2">
      <c r="B687" s="2"/>
      <c r="C687" s="3"/>
      <c r="D687" s="4"/>
      <c r="E687" s="5"/>
      <c r="F687" s="2"/>
      <c r="AF687" s="5"/>
    </row>
    <row r="688" spans="2:32" x14ac:dyDescent="0.2">
      <c r="B688" s="2"/>
      <c r="C688" s="3"/>
      <c r="D688" s="4"/>
      <c r="E688" s="5"/>
      <c r="F688" s="2"/>
      <c r="AF688" s="5"/>
    </row>
    <row r="689" spans="2:32" x14ac:dyDescent="0.2">
      <c r="B689" s="2"/>
      <c r="C689" s="3"/>
      <c r="D689" s="4"/>
      <c r="E689" s="5"/>
      <c r="F689" s="2"/>
      <c r="AF689" s="5"/>
    </row>
    <row r="690" spans="2:32" x14ac:dyDescent="0.2">
      <c r="B690" s="2"/>
      <c r="C690" s="3"/>
      <c r="D690" s="4"/>
      <c r="E690" s="5"/>
      <c r="F690" s="2"/>
      <c r="AF690" s="5"/>
    </row>
    <row r="691" spans="2:32" x14ac:dyDescent="0.2">
      <c r="B691" s="2"/>
      <c r="C691" s="3"/>
      <c r="D691" s="4"/>
      <c r="E691" s="5"/>
      <c r="F691" s="2"/>
      <c r="AF691" s="5"/>
    </row>
    <row r="692" spans="2:32" x14ac:dyDescent="0.2">
      <c r="B692" s="2"/>
      <c r="C692" s="3"/>
      <c r="D692" s="4"/>
      <c r="E692" s="5"/>
      <c r="F692" s="2"/>
      <c r="AF692" s="5"/>
    </row>
    <row r="693" spans="2:32" x14ac:dyDescent="0.2">
      <c r="B693" s="2"/>
      <c r="C693" s="3"/>
      <c r="D693" s="4"/>
      <c r="E693" s="5"/>
      <c r="F693" s="2"/>
      <c r="AF693" s="5"/>
    </row>
    <row r="694" spans="2:32" x14ac:dyDescent="0.2">
      <c r="B694" s="2"/>
      <c r="C694" s="3"/>
      <c r="D694" s="4"/>
      <c r="E694" s="5"/>
      <c r="F694" s="2"/>
      <c r="AF694" s="5"/>
    </row>
    <row r="695" spans="2:32" x14ac:dyDescent="0.2">
      <c r="B695" s="2"/>
      <c r="C695" s="3"/>
      <c r="D695" s="4"/>
      <c r="E695" s="5"/>
      <c r="F695" s="2"/>
      <c r="AF695" s="5"/>
    </row>
    <row r="696" spans="2:32" x14ac:dyDescent="0.2">
      <c r="B696" s="2"/>
      <c r="C696" s="3"/>
      <c r="D696" s="4"/>
      <c r="E696" s="5"/>
      <c r="F696" s="2"/>
      <c r="AF696" s="5"/>
    </row>
    <row r="697" spans="2:32" x14ac:dyDescent="0.2">
      <c r="B697" s="2"/>
      <c r="C697" s="3"/>
      <c r="D697" s="4"/>
      <c r="E697" s="5"/>
      <c r="F697" s="2"/>
      <c r="AF697" s="5"/>
    </row>
    <row r="698" spans="2:32" x14ac:dyDescent="0.2">
      <c r="B698" s="2"/>
      <c r="C698" s="3"/>
      <c r="D698" s="4"/>
      <c r="E698" s="5"/>
      <c r="F698" s="2"/>
      <c r="AF698" s="5"/>
    </row>
    <row r="699" spans="2:32" x14ac:dyDescent="0.2">
      <c r="B699" s="2"/>
      <c r="C699" s="3"/>
      <c r="D699" s="4"/>
      <c r="E699" s="5"/>
      <c r="F699" s="2"/>
      <c r="AF699" s="5"/>
    </row>
    <row r="700" spans="2:32" x14ac:dyDescent="0.2">
      <c r="B700" s="2"/>
      <c r="C700" s="3"/>
      <c r="D700" s="4"/>
      <c r="E700" s="5"/>
      <c r="F700" s="2"/>
      <c r="AF700" s="5"/>
    </row>
    <row r="701" spans="2:32" x14ac:dyDescent="0.2">
      <c r="B701" s="2"/>
      <c r="C701" s="3"/>
      <c r="D701" s="4"/>
      <c r="E701" s="5"/>
      <c r="F701" s="2"/>
      <c r="AF701" s="5"/>
    </row>
    <row r="702" spans="2:32" x14ac:dyDescent="0.2">
      <c r="B702" s="2"/>
      <c r="C702" s="3"/>
      <c r="D702" s="4"/>
      <c r="E702" s="5"/>
      <c r="F702" s="2"/>
      <c r="AF702" s="5"/>
    </row>
    <row r="703" spans="2:32" x14ac:dyDescent="0.2">
      <c r="B703" s="2"/>
      <c r="C703" s="3"/>
      <c r="D703" s="4"/>
      <c r="E703" s="5"/>
      <c r="F703" s="2"/>
      <c r="AF703" s="5"/>
    </row>
    <row r="704" spans="2:32" x14ac:dyDescent="0.2">
      <c r="B704" s="2"/>
      <c r="C704" s="3"/>
      <c r="D704" s="4"/>
      <c r="E704" s="5"/>
      <c r="F704" s="2"/>
      <c r="AF704" s="5"/>
    </row>
    <row r="705" spans="2:32" x14ac:dyDescent="0.2">
      <c r="B705" s="2"/>
      <c r="C705" s="3"/>
      <c r="D705" s="4"/>
      <c r="E705" s="5"/>
      <c r="F705" s="2"/>
      <c r="AF705" s="5"/>
    </row>
    <row r="706" spans="2:32" x14ac:dyDescent="0.2">
      <c r="B706" s="2"/>
      <c r="C706" s="3"/>
      <c r="D706" s="4"/>
      <c r="E706" s="5"/>
      <c r="F706" s="2"/>
      <c r="AF706" s="5"/>
    </row>
    <row r="707" spans="2:32" x14ac:dyDescent="0.2">
      <c r="B707" s="2"/>
      <c r="C707" s="3"/>
      <c r="D707" s="4"/>
      <c r="E707" s="5"/>
      <c r="F707" s="2"/>
      <c r="AF707" s="5"/>
    </row>
    <row r="708" spans="2:32" x14ac:dyDescent="0.2">
      <c r="B708" s="2"/>
      <c r="C708" s="3"/>
      <c r="D708" s="4"/>
      <c r="E708" s="5"/>
      <c r="F708" s="2"/>
      <c r="AF708" s="5"/>
    </row>
    <row r="709" spans="2:32" x14ac:dyDescent="0.2">
      <c r="B709" s="2"/>
      <c r="C709" s="3"/>
      <c r="D709" s="4"/>
      <c r="E709" s="5"/>
      <c r="F709" s="2"/>
      <c r="AF709" s="5"/>
    </row>
    <row r="710" spans="2:32" x14ac:dyDescent="0.2">
      <c r="B710" s="2"/>
      <c r="C710" s="3"/>
      <c r="D710" s="4"/>
      <c r="E710" s="5"/>
      <c r="F710" s="2"/>
      <c r="AF710" s="5"/>
    </row>
    <row r="711" spans="2:32" x14ac:dyDescent="0.2">
      <c r="B711" s="2"/>
      <c r="C711" s="3"/>
      <c r="D711" s="4"/>
      <c r="E711" s="5"/>
      <c r="F711" s="2"/>
      <c r="AF711" s="5"/>
    </row>
    <row r="712" spans="2:32" x14ac:dyDescent="0.2">
      <c r="B712" s="2"/>
      <c r="C712" s="3"/>
      <c r="D712" s="4"/>
      <c r="E712" s="5"/>
      <c r="F712" s="2"/>
      <c r="AF712" s="5"/>
    </row>
    <row r="713" spans="2:32" x14ac:dyDescent="0.2">
      <c r="B713" s="2"/>
      <c r="C713" s="3"/>
      <c r="D713" s="4"/>
      <c r="E713" s="5"/>
      <c r="F713" s="2"/>
      <c r="AF713" s="5"/>
    </row>
    <row r="714" spans="2:32" x14ac:dyDescent="0.2">
      <c r="B714" s="2"/>
      <c r="C714" s="3"/>
      <c r="D714" s="4"/>
      <c r="E714" s="5"/>
      <c r="F714" s="2"/>
      <c r="AF714" s="5"/>
    </row>
    <row r="715" spans="2:32" x14ac:dyDescent="0.2">
      <c r="B715" s="2"/>
      <c r="C715" s="3"/>
      <c r="D715" s="4"/>
      <c r="E715" s="5"/>
      <c r="F715" s="2"/>
      <c r="AF715" s="5"/>
    </row>
    <row r="716" spans="2:32" x14ac:dyDescent="0.2">
      <c r="B716" s="2"/>
      <c r="C716" s="3"/>
      <c r="D716" s="4"/>
      <c r="E716" s="5"/>
      <c r="F716" s="2"/>
      <c r="AF716" s="5"/>
    </row>
    <row r="717" spans="2:32" x14ac:dyDescent="0.2">
      <c r="B717" s="2"/>
      <c r="C717" s="3"/>
      <c r="D717" s="4"/>
      <c r="E717" s="5"/>
      <c r="F717" s="2"/>
      <c r="AF717" s="5"/>
    </row>
    <row r="718" spans="2:32" x14ac:dyDescent="0.2">
      <c r="B718" s="2"/>
      <c r="C718" s="3"/>
      <c r="D718" s="4"/>
      <c r="E718" s="5"/>
      <c r="F718" s="2"/>
      <c r="AF718" s="5"/>
    </row>
    <row r="719" spans="2:32" x14ac:dyDescent="0.2">
      <c r="B719" s="2"/>
      <c r="C719" s="3"/>
      <c r="D719" s="4"/>
      <c r="E719" s="5"/>
      <c r="F719" s="2"/>
      <c r="AF719" s="5"/>
    </row>
    <row r="720" spans="2:32" x14ac:dyDescent="0.2">
      <c r="B720" s="2"/>
      <c r="C720" s="3"/>
      <c r="D720" s="4"/>
      <c r="E720" s="5"/>
      <c r="F720" s="2"/>
      <c r="AF720" s="5"/>
    </row>
    <row r="721" spans="2:32" x14ac:dyDescent="0.2">
      <c r="B721" s="2"/>
      <c r="C721" s="3"/>
      <c r="D721" s="4"/>
      <c r="E721" s="5"/>
      <c r="F721" s="2"/>
      <c r="AF721" s="5"/>
    </row>
    <row r="722" spans="2:32" x14ac:dyDescent="0.2">
      <c r="B722" s="2"/>
      <c r="C722" s="3"/>
      <c r="D722" s="4"/>
      <c r="E722" s="5"/>
      <c r="F722" s="2"/>
      <c r="AF722" s="5"/>
    </row>
    <row r="723" spans="2:32" x14ac:dyDescent="0.2">
      <c r="B723" s="2"/>
      <c r="C723" s="3"/>
      <c r="D723" s="4"/>
      <c r="E723" s="5"/>
      <c r="F723" s="2"/>
      <c r="AF723" s="5"/>
    </row>
    <row r="724" spans="2:32" x14ac:dyDescent="0.2">
      <c r="B724" s="2"/>
      <c r="C724" s="3"/>
      <c r="D724" s="4"/>
      <c r="E724" s="5"/>
      <c r="F724" s="2"/>
      <c r="AF724" s="5"/>
    </row>
    <row r="725" spans="2:32" x14ac:dyDescent="0.2">
      <c r="B725" s="2"/>
      <c r="C725" s="3"/>
      <c r="D725" s="4"/>
      <c r="E725" s="5"/>
      <c r="F725" s="2"/>
      <c r="AF725" s="5"/>
    </row>
    <row r="726" spans="2:32" x14ac:dyDescent="0.2">
      <c r="B726" s="2"/>
      <c r="C726" s="3"/>
      <c r="D726" s="4"/>
      <c r="E726" s="5"/>
      <c r="F726" s="2"/>
      <c r="AF726" s="5"/>
    </row>
    <row r="727" spans="2:32" x14ac:dyDescent="0.2">
      <c r="B727" s="2"/>
      <c r="C727" s="3"/>
      <c r="D727" s="4"/>
      <c r="E727" s="5"/>
      <c r="F727" s="2"/>
      <c r="AF727" s="5"/>
    </row>
    <row r="728" spans="2:32" x14ac:dyDescent="0.2">
      <c r="B728" s="2"/>
      <c r="C728" s="3"/>
      <c r="D728" s="4"/>
      <c r="E728" s="5"/>
      <c r="F728" s="2"/>
      <c r="AF728" s="5"/>
    </row>
    <row r="729" spans="2:32" x14ac:dyDescent="0.2">
      <c r="B729" s="2"/>
      <c r="C729" s="3"/>
      <c r="D729" s="4"/>
      <c r="E729" s="5"/>
      <c r="F729" s="2"/>
      <c r="AF729" s="5"/>
    </row>
    <row r="730" spans="2:32" x14ac:dyDescent="0.2">
      <c r="B730" s="2"/>
      <c r="C730" s="3"/>
      <c r="D730" s="4"/>
      <c r="E730" s="5"/>
      <c r="F730" s="2"/>
      <c r="AF730" s="5"/>
    </row>
    <row r="731" spans="2:32" x14ac:dyDescent="0.2">
      <c r="B731" s="2"/>
      <c r="C731" s="3"/>
      <c r="D731" s="4"/>
      <c r="E731" s="5"/>
      <c r="F731" s="2"/>
      <c r="AF731" s="5"/>
    </row>
    <row r="732" spans="2:32" x14ac:dyDescent="0.2">
      <c r="B732" s="2"/>
      <c r="C732" s="3"/>
      <c r="D732" s="4"/>
      <c r="E732" s="5"/>
      <c r="F732" s="2"/>
      <c r="AF732" s="5"/>
    </row>
    <row r="1157" spans="2:32" x14ac:dyDescent="0.2">
      <c r="B1157" s="2"/>
      <c r="C1157" s="3"/>
      <c r="D1157" s="4"/>
      <c r="E1157" s="5"/>
      <c r="F1157" s="2"/>
      <c r="AF1157" s="5"/>
    </row>
    <row r="1158" spans="2:32" x14ac:dyDescent="0.2">
      <c r="B1158" s="2"/>
      <c r="C1158" s="3"/>
      <c r="D1158" s="4"/>
      <c r="E1158" s="5"/>
      <c r="F1158" s="2"/>
      <c r="AF1158" s="5"/>
    </row>
    <row r="1159" spans="2:32" x14ac:dyDescent="0.2">
      <c r="B1159" s="2"/>
      <c r="C1159" s="3"/>
      <c r="D1159" s="4"/>
      <c r="E1159" s="5"/>
      <c r="F1159" s="2"/>
      <c r="AF1159" s="5"/>
    </row>
    <row r="1160" spans="2:32" x14ac:dyDescent="0.2">
      <c r="B1160" s="2"/>
      <c r="C1160" s="3"/>
      <c r="D1160" s="4"/>
      <c r="E1160" s="5"/>
      <c r="F1160" s="2"/>
      <c r="AF1160" s="5"/>
    </row>
    <row r="1161" spans="2:32" x14ac:dyDescent="0.2">
      <c r="B1161" s="2"/>
      <c r="C1161" s="3"/>
      <c r="D1161" s="4"/>
      <c r="E1161" s="5"/>
      <c r="F1161" s="2"/>
      <c r="AF1161" s="5"/>
    </row>
    <row r="1162" spans="2:32" x14ac:dyDescent="0.2">
      <c r="B1162" s="2"/>
      <c r="C1162" s="3"/>
      <c r="D1162" s="4"/>
      <c r="E1162" s="5"/>
      <c r="F1162" s="2"/>
      <c r="AF1162" s="5"/>
    </row>
    <row r="1163" spans="2:32" x14ac:dyDescent="0.2">
      <c r="B1163" s="2"/>
      <c r="C1163" s="3"/>
      <c r="D1163" s="4"/>
      <c r="E1163" s="5"/>
      <c r="F1163" s="2"/>
      <c r="AF1163" s="5"/>
    </row>
    <row r="1164" spans="2:32" x14ac:dyDescent="0.2">
      <c r="B1164" s="2"/>
      <c r="C1164" s="3"/>
      <c r="D1164" s="4"/>
      <c r="E1164" s="5"/>
      <c r="F1164" s="2"/>
      <c r="AF1164" s="5"/>
    </row>
    <row r="1165" spans="2:32" x14ac:dyDescent="0.2">
      <c r="B1165" s="2"/>
      <c r="C1165" s="3"/>
      <c r="D1165" s="4"/>
      <c r="E1165" s="5"/>
      <c r="F1165" s="2"/>
      <c r="AF1165" s="5"/>
    </row>
    <row r="1166" spans="2:32" x14ac:dyDescent="0.2">
      <c r="B1166" s="2"/>
      <c r="C1166" s="3"/>
      <c r="D1166" s="4"/>
      <c r="E1166" s="5"/>
      <c r="F1166" s="2"/>
      <c r="AF1166" s="5"/>
    </row>
    <row r="1167" spans="2:32" x14ac:dyDescent="0.2">
      <c r="B1167" s="2"/>
      <c r="C1167" s="3"/>
      <c r="D1167" s="4"/>
      <c r="E1167" s="5"/>
      <c r="F1167" s="2"/>
      <c r="AF1167" s="5"/>
    </row>
    <row r="1168" spans="2:32" x14ac:dyDescent="0.2">
      <c r="B1168" s="2"/>
      <c r="C1168" s="3"/>
      <c r="D1168" s="4"/>
      <c r="E1168" s="5"/>
      <c r="F1168" s="2"/>
      <c r="AF1168" s="5"/>
    </row>
    <row r="1169" spans="2:32" x14ac:dyDescent="0.2">
      <c r="B1169" s="2"/>
      <c r="C1169" s="3"/>
      <c r="D1169" s="4"/>
      <c r="E1169" s="5"/>
      <c r="F1169" s="2"/>
      <c r="AF1169" s="5"/>
    </row>
    <row r="1170" spans="2:32" x14ac:dyDescent="0.2">
      <c r="B1170" s="2"/>
      <c r="C1170" s="3"/>
      <c r="D1170" s="4"/>
      <c r="E1170" s="5"/>
      <c r="F1170" s="2"/>
      <c r="AF1170" s="5"/>
    </row>
    <row r="1171" spans="2:32" x14ac:dyDescent="0.2">
      <c r="B1171" s="2"/>
      <c r="C1171" s="3"/>
      <c r="D1171" s="4"/>
      <c r="E1171" s="5"/>
      <c r="F1171" s="2"/>
      <c r="AF1171" s="5"/>
    </row>
    <row r="1172" spans="2:32" x14ac:dyDescent="0.2">
      <c r="B1172" s="2"/>
      <c r="C1172" s="3"/>
      <c r="D1172" s="4"/>
      <c r="E1172" s="5"/>
      <c r="F1172" s="2"/>
      <c r="AF1172" s="5"/>
    </row>
    <row r="1173" spans="2:32" x14ac:dyDescent="0.2">
      <c r="B1173" s="2"/>
      <c r="C1173" s="3"/>
      <c r="D1173" s="4"/>
      <c r="E1173" s="5"/>
      <c r="F1173" s="2"/>
      <c r="AF1173" s="5"/>
    </row>
    <row r="1174" spans="2:32" x14ac:dyDescent="0.2">
      <c r="B1174" s="2"/>
      <c r="C1174" s="3"/>
      <c r="D1174" s="4"/>
      <c r="E1174" s="5"/>
      <c r="F1174" s="2"/>
      <c r="AF1174" s="5"/>
    </row>
    <row r="1175" spans="2:32" x14ac:dyDescent="0.2">
      <c r="B1175" s="2"/>
      <c r="C1175" s="3"/>
      <c r="D1175" s="4"/>
      <c r="E1175" s="5"/>
      <c r="F1175" s="2"/>
      <c r="AF1175" s="5"/>
    </row>
    <row r="1176" spans="2:32" x14ac:dyDescent="0.2">
      <c r="B1176" s="2"/>
      <c r="C1176" s="3"/>
      <c r="D1176" s="4"/>
      <c r="E1176" s="5"/>
      <c r="F1176" s="2"/>
      <c r="AF1176" s="5"/>
    </row>
    <row r="1177" spans="2:32" x14ac:dyDescent="0.2">
      <c r="B1177" s="2"/>
      <c r="C1177" s="3"/>
      <c r="D1177" s="4"/>
      <c r="E1177" s="5"/>
      <c r="F1177" s="2"/>
      <c r="AF1177" s="5"/>
    </row>
    <row r="1178" spans="2:32" x14ac:dyDescent="0.2">
      <c r="B1178" s="2"/>
      <c r="C1178" s="3"/>
      <c r="D1178" s="4"/>
      <c r="E1178" s="5"/>
      <c r="F1178" s="2"/>
      <c r="AF1178" s="5"/>
    </row>
    <row r="1179" spans="2:32" x14ac:dyDescent="0.2">
      <c r="B1179" s="2"/>
      <c r="C1179" s="3"/>
      <c r="D1179" s="4"/>
      <c r="E1179" s="5"/>
      <c r="F1179" s="2"/>
      <c r="AF1179" s="5"/>
    </row>
    <row r="1180" spans="2:32" x14ac:dyDescent="0.2">
      <c r="B1180" s="2"/>
      <c r="C1180" s="3"/>
      <c r="D1180" s="4"/>
      <c r="E1180" s="5"/>
      <c r="F1180" s="2"/>
      <c r="AF1180" s="5"/>
    </row>
    <row r="1181" spans="2:32" x14ac:dyDescent="0.2">
      <c r="B1181" s="2"/>
      <c r="C1181" s="3"/>
      <c r="D1181" s="4"/>
      <c r="E1181" s="5"/>
      <c r="F1181" s="2"/>
      <c r="AF1181" s="5"/>
    </row>
    <row r="1182" spans="2:32" x14ac:dyDescent="0.2">
      <c r="B1182" s="2"/>
      <c r="C1182" s="3"/>
      <c r="D1182" s="4"/>
      <c r="E1182" s="5"/>
      <c r="F1182" s="2"/>
      <c r="AF1182" s="5"/>
    </row>
    <row r="1183" spans="2:32" x14ac:dyDescent="0.2">
      <c r="B1183" s="2"/>
      <c r="C1183" s="3"/>
      <c r="D1183" s="4"/>
      <c r="E1183" s="5"/>
      <c r="F1183" s="2"/>
      <c r="AF1183" s="5"/>
    </row>
    <row r="1184" spans="2:32" x14ac:dyDescent="0.2">
      <c r="B1184" s="2"/>
      <c r="C1184" s="3"/>
      <c r="D1184" s="4"/>
      <c r="E1184" s="5"/>
      <c r="F1184" s="2"/>
      <c r="AF1184" s="5"/>
    </row>
    <row r="1185" spans="2:32" x14ac:dyDescent="0.2">
      <c r="B1185" s="2"/>
      <c r="C1185" s="3"/>
      <c r="D1185" s="4"/>
      <c r="E1185" s="5"/>
      <c r="F1185" s="2"/>
      <c r="AF1185" s="5"/>
    </row>
    <row r="1186" spans="2:32" x14ac:dyDescent="0.2">
      <c r="B1186" s="2"/>
      <c r="C1186" s="3"/>
      <c r="D1186" s="4"/>
      <c r="E1186" s="5"/>
      <c r="F1186" s="2"/>
      <c r="AF1186" s="5"/>
    </row>
    <row r="1187" spans="2:32" x14ac:dyDescent="0.2">
      <c r="B1187" s="2"/>
      <c r="C1187" s="3"/>
      <c r="D1187" s="4"/>
      <c r="E1187" s="5"/>
      <c r="F1187" s="2"/>
      <c r="AF1187" s="5"/>
    </row>
    <row r="1188" spans="2:32" x14ac:dyDescent="0.2">
      <c r="B1188" s="2"/>
      <c r="C1188" s="3"/>
      <c r="D1188" s="4"/>
      <c r="E1188" s="5"/>
      <c r="F1188" s="2"/>
      <c r="AF1188" s="5"/>
    </row>
    <row r="1189" spans="2:32" x14ac:dyDescent="0.2">
      <c r="B1189" s="2"/>
      <c r="C1189" s="3"/>
      <c r="D1189" s="4"/>
      <c r="E1189" s="5"/>
      <c r="F1189" s="2"/>
      <c r="AF1189" s="5"/>
    </row>
    <row r="1190" spans="2:32" x14ac:dyDescent="0.2">
      <c r="B1190" s="2"/>
      <c r="C1190" s="3"/>
      <c r="D1190" s="4"/>
      <c r="E1190" s="5"/>
      <c r="F1190" s="2"/>
      <c r="AF1190" s="5"/>
    </row>
    <row r="1191" spans="2:32" x14ac:dyDescent="0.2">
      <c r="B1191" s="2"/>
      <c r="C1191" s="3"/>
      <c r="D1191" s="4"/>
      <c r="E1191" s="5"/>
      <c r="F1191" s="2"/>
      <c r="AF1191" s="5"/>
    </row>
    <row r="1192" spans="2:32" x14ac:dyDescent="0.2">
      <c r="B1192" s="2"/>
      <c r="C1192" s="3"/>
      <c r="D1192" s="4"/>
      <c r="E1192" s="5"/>
      <c r="F1192" s="2"/>
      <c r="AF1192" s="5"/>
    </row>
    <row r="1193" spans="2:32" x14ac:dyDescent="0.2">
      <c r="B1193" s="2"/>
      <c r="C1193" s="3"/>
      <c r="D1193" s="4"/>
      <c r="E1193" s="5"/>
      <c r="F1193" s="2"/>
      <c r="AF1193" s="5"/>
    </row>
    <row r="1194" spans="2:32" x14ac:dyDescent="0.2">
      <c r="B1194" s="2"/>
      <c r="C1194" s="3"/>
      <c r="D1194" s="4"/>
      <c r="E1194" s="5"/>
      <c r="F1194" s="2"/>
      <c r="AF1194" s="5"/>
    </row>
    <row r="1195" spans="2:32" x14ac:dyDescent="0.2">
      <c r="B1195" s="2"/>
      <c r="C1195" s="3"/>
      <c r="D1195" s="4"/>
      <c r="E1195" s="5"/>
      <c r="F1195" s="2"/>
      <c r="AF1195" s="5"/>
    </row>
    <row r="1196" spans="2:32" x14ac:dyDescent="0.2">
      <c r="B1196" s="2"/>
      <c r="C1196" s="3"/>
      <c r="D1196" s="4"/>
      <c r="E1196" s="5"/>
      <c r="F1196" s="2"/>
      <c r="AF1196" s="5"/>
    </row>
    <row r="1197" spans="2:32" x14ac:dyDescent="0.2">
      <c r="B1197" s="2"/>
      <c r="C1197" s="3"/>
      <c r="D1197" s="4"/>
      <c r="E1197" s="5"/>
      <c r="F1197" s="2"/>
      <c r="AF1197" s="5"/>
    </row>
    <row r="1198" spans="2:32" x14ac:dyDescent="0.2">
      <c r="B1198" s="2"/>
      <c r="C1198" s="3"/>
      <c r="D1198" s="4"/>
      <c r="E1198" s="5"/>
      <c r="F1198" s="2"/>
      <c r="AF1198" s="5"/>
    </row>
    <row r="1199" spans="2:32" x14ac:dyDescent="0.2">
      <c r="B1199" s="2"/>
      <c r="C1199" s="3"/>
      <c r="D1199" s="4"/>
      <c r="E1199" s="5"/>
      <c r="F1199" s="2"/>
      <c r="AF1199" s="5"/>
    </row>
    <row r="1200" spans="2:32" x14ac:dyDescent="0.2">
      <c r="B1200" s="2"/>
      <c r="C1200" s="3"/>
      <c r="D1200" s="4"/>
      <c r="E1200" s="5"/>
      <c r="F1200" s="2"/>
      <c r="AF1200" s="5"/>
    </row>
    <row r="1201" spans="2:32" x14ac:dyDescent="0.2">
      <c r="B1201" s="2"/>
      <c r="C1201" s="3"/>
      <c r="D1201" s="4"/>
      <c r="E1201" s="5"/>
      <c r="F1201" s="2"/>
      <c r="AF120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README</vt:lpstr>
      <vt:lpstr>Availability</vt:lpstr>
      <vt:lpstr>Generalized Data</vt:lpstr>
      <vt:lpstr>Heat Pumps ETRI</vt:lpstr>
      <vt:lpstr>RSD_PRandCOM</vt:lpstr>
      <vt:lpstr>RSDTechsCE</vt:lpstr>
      <vt:lpstr>RSD_H&amp;C</vt:lpstr>
      <vt:lpstr>RSD_DistrictHeating</vt:lpstr>
      <vt:lpstr>COM_PRandCOM</vt:lpstr>
      <vt:lpstr>RSD_RHDH</vt:lpstr>
      <vt:lpstr>RSD_RHFL</vt:lpstr>
      <vt:lpstr>RSD_RHSD</vt:lpstr>
      <vt:lpstr>COM_Other</vt:lpstr>
      <vt:lpstr>COM_HO</vt:lpstr>
      <vt:lpstr>COM_HR</vt:lpstr>
      <vt:lpstr>COM_SR</vt:lpstr>
      <vt:lpstr>COM_SL</vt:lpstr>
      <vt:lpstr>COM_SS</vt:lpstr>
      <vt:lpstr>COM_OF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</dc:creator>
  <cp:lastModifiedBy>Admin</cp:lastModifiedBy>
  <cp:lastPrinted>2008-05-07T08:41:54Z</cp:lastPrinted>
  <dcterms:created xsi:type="dcterms:W3CDTF">2008-04-18T07:37:33Z</dcterms:created>
  <dcterms:modified xsi:type="dcterms:W3CDTF">2020-05-08T07:20:51Z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937607586383819</vt:r8>
  </property>
</Properties>
</file>