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defaultThemeVersion="124226"/>
  <mc:AlternateContent xmlns:mc="http://schemas.openxmlformats.org/markup-compatibility/2006">
    <mc:Choice Requires="x15">
      <x15ac:absPath xmlns:x15ac="http://schemas.microsoft.com/office/spreadsheetml/2010/11/ac" url="D:\VEDA\VEDA_Models\2-NewVeda\EU-TIMES\SubRES_TMPL\"/>
    </mc:Choice>
  </mc:AlternateContent>
  <xr:revisionPtr revIDLastSave="0" documentId="13_ncr:1_{F68CE409-11EB-4A1E-A286-2FE3981E2D3F}" xr6:coauthVersionLast="45" xr6:coauthVersionMax="45" xr10:uidLastSave="{00000000-0000-0000-0000-000000000000}"/>
  <bookViews>
    <workbookView xWindow="0" yWindow="1650" windowWidth="28800" windowHeight="15555" activeTab="4"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22" l="1"/>
  <c r="C14" i="22"/>
  <c r="B14" i="22"/>
  <c r="E10" i="22"/>
  <c r="E11" i="22"/>
  <c r="C10" i="22"/>
  <c r="C11" i="22"/>
  <c r="B10" i="22"/>
  <c r="B11" i="22"/>
  <c r="C35" i="24"/>
  <c r="B35" i="24"/>
  <c r="D14" i="24" s="1"/>
  <c r="C34" i="24"/>
  <c r="B34" i="24"/>
  <c r="D13" i="24" s="1"/>
  <c r="C33" i="24"/>
  <c r="B33" i="24"/>
  <c r="C25" i="24"/>
  <c r="B25" i="24"/>
  <c r="A14" i="24" s="1"/>
  <c r="C24" i="24"/>
  <c r="B24" i="24"/>
  <c r="A13" i="24" s="1"/>
  <c r="C23" i="24"/>
  <c r="B23" i="24"/>
  <c r="A12" i="24"/>
  <c r="L14" i="24"/>
  <c r="J14" i="24"/>
  <c r="G10" i="24"/>
  <c r="G14" i="24" s="1"/>
  <c r="F10" i="24"/>
  <c r="F14" i="24" s="1"/>
  <c r="L13" i="24"/>
  <c r="J13" i="24"/>
  <c r="G8" i="24"/>
  <c r="G13" i="24" s="1"/>
  <c r="F8" i="24"/>
  <c r="F13" i="24" s="1"/>
  <c r="L12" i="24"/>
  <c r="J12" i="24"/>
  <c r="G6" i="24"/>
  <c r="G12" i="24" s="1"/>
  <c r="F6" i="24"/>
  <c r="F12" i="24" s="1"/>
  <c r="D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6" i="22"/>
  <c r="C16" i="22"/>
  <c r="E16" i="22"/>
  <c r="B13" i="22"/>
  <c r="C13" i="22"/>
  <c r="E13" i="22"/>
  <c r="B15" i="22"/>
  <c r="C15" i="22"/>
  <c r="E15" i="22"/>
  <c r="E9" i="22"/>
  <c r="E12" i="22"/>
  <c r="E8" i="22"/>
  <c r="E5" i="22" s="1"/>
  <c r="B12" i="22"/>
  <c r="C12" i="22"/>
  <c r="C9" i="22"/>
  <c r="B9" i="22"/>
  <c r="D26" i="9"/>
  <c r="D28" i="9" s="1"/>
  <c r="B28" i="9"/>
  <c r="F37" i="9"/>
  <c r="H14" i="9"/>
  <c r="H30" i="9" s="1"/>
  <c r="H12" i="9"/>
  <c r="H28" i="9" s="1"/>
  <c r="H10" i="9"/>
  <c r="H26" i="9" s="1"/>
  <c r="H6" i="9"/>
  <c r="H24" i="9" s="1"/>
  <c r="J9" i="7"/>
  <c r="J12" i="7" s="1"/>
  <c r="K8" i="10" s="1"/>
  <c r="L14" i="10"/>
  <c r="J14" i="10"/>
  <c r="L13" i="10"/>
  <c r="J13" i="10"/>
  <c r="L12" i="10"/>
  <c r="J12" i="10"/>
  <c r="I8" i="7"/>
  <c r="K12" i="9" s="1"/>
  <c r="K28" i="9" s="1"/>
  <c r="G7" i="7"/>
  <c r="H7" i="7" s="1"/>
  <c r="M20" i="9" s="1"/>
  <c r="M33" i="9" s="1"/>
  <c r="L7" i="7"/>
  <c r="L9" i="7"/>
  <c r="L15" i="7" s="1"/>
  <c r="M13" i="24" s="1"/>
  <c r="K9" i="7"/>
  <c r="K15" i="7" s="1"/>
  <c r="L8" i="24" s="1"/>
  <c r="I9" i="7"/>
  <c r="I15" i="7" s="1"/>
  <c r="J8" i="24" s="1"/>
  <c r="L8" i="7"/>
  <c r="L14" i="7" s="1"/>
  <c r="M12" i="24" s="1"/>
  <c r="K8" i="7"/>
  <c r="K14" i="7" s="1"/>
  <c r="L6" i="24" s="1"/>
  <c r="I14" i="7"/>
  <c r="J6" i="24" s="1"/>
  <c r="L11" i="7"/>
  <c r="M12" i="10" s="1"/>
  <c r="I11" i="7"/>
  <c r="J6" i="10" s="1"/>
  <c r="L10" i="7"/>
  <c r="K10" i="7"/>
  <c r="M16" i="9" s="1"/>
  <c r="I10" i="7"/>
  <c r="K16" i="9" s="1"/>
  <c r="I13" i="7"/>
  <c r="J10" i="10" s="1"/>
  <c r="K3" i="7"/>
  <c r="I3" i="7"/>
  <c r="K6" i="9" s="1"/>
  <c r="K24" i="9" s="1"/>
  <c r="H3" i="7"/>
  <c r="M18" i="9" s="1"/>
  <c r="M32" i="9" s="1"/>
  <c r="G4" i="7"/>
  <c r="K19" i="9" s="1"/>
  <c r="G3" i="7"/>
  <c r="L3" i="7" s="1"/>
  <c r="N18" i="9" s="1"/>
  <c r="N32" i="9" s="1"/>
  <c r="M3" i="7"/>
  <c r="A17" i="10"/>
  <c r="O4" i="7"/>
  <c r="O3" i="7"/>
  <c r="L16" i="7"/>
  <c r="M14" i="24" s="1"/>
  <c r="L13" i="7"/>
  <c r="L4" i="7"/>
  <c r="I7" i="7"/>
  <c r="O6" i="10"/>
  <c r="P30" i="9"/>
  <c r="P28" i="9"/>
  <c r="P26" i="9"/>
  <c r="P24" i="9"/>
  <c r="P16" i="9"/>
  <c r="P14" i="9"/>
  <c r="P12" i="9"/>
  <c r="P10" i="9"/>
  <c r="P8" i="9"/>
  <c r="P6" i="9"/>
  <c r="K6" i="21"/>
  <c r="O8" i="10"/>
  <c r="O10" i="10"/>
  <c r="M4" i="7"/>
  <c r="N8" i="9" s="1"/>
  <c r="K16" i="7"/>
  <c r="L10" i="24" s="1"/>
  <c r="K13" i="7"/>
  <c r="L10" i="10" s="1"/>
  <c r="K7" i="7"/>
  <c r="K4" i="7"/>
  <c r="M8" i="9" s="1"/>
  <c r="I16" i="7"/>
  <c r="J10" i="24" s="1"/>
  <c r="I4" i="7"/>
  <c r="K8" i="9" s="1"/>
  <c r="I8" i="21"/>
  <c r="I6" i="21"/>
  <c r="B8" i="21"/>
  <c r="E6" i="21"/>
  <c r="E8" i="21" s="1"/>
  <c r="A9" i="21"/>
  <c r="G10" i="21"/>
  <c r="B18" i="21"/>
  <c r="A8" i="21" s="1"/>
  <c r="C18" i="21"/>
  <c r="C25" i="21"/>
  <c r="B25" i="21"/>
  <c r="D8" i="21" s="1"/>
  <c r="D11" i="21"/>
  <c r="B6" i="21"/>
  <c r="A6" i="21"/>
  <c r="C7" i="21" s="1"/>
  <c r="F6" i="21"/>
  <c r="G9" i="21"/>
  <c r="K23" i="9"/>
  <c r="K22" i="9"/>
  <c r="K35" i="9" s="1"/>
  <c r="M23" i="9"/>
  <c r="M22" i="9"/>
  <c r="M21" i="9"/>
  <c r="K21" i="9"/>
  <c r="K34" i="9" s="1"/>
  <c r="D36" i="9"/>
  <c r="A36" i="9"/>
  <c r="C80" i="9"/>
  <c r="B80" i="9"/>
  <c r="D32" i="9" s="1"/>
  <c r="C74" i="9"/>
  <c r="B74" i="9"/>
  <c r="D18" i="9" s="1"/>
  <c r="B24" i="9"/>
  <c r="A24" i="9"/>
  <c r="B6" i="9"/>
  <c r="I38" i="9"/>
  <c r="I37" i="9"/>
  <c r="D39" i="9"/>
  <c r="A37" i="9"/>
  <c r="A6" i="9"/>
  <c r="H6" i="14"/>
  <c r="H6" i="13"/>
  <c r="M35" i="9"/>
  <c r="M34" i="9"/>
  <c r="M19" i="9"/>
  <c r="M14" i="9"/>
  <c r="M30" i="9"/>
  <c r="M10" i="9"/>
  <c r="M26" i="9" s="1"/>
  <c r="M6" i="9"/>
  <c r="M24" i="9" s="1"/>
  <c r="I7" i="14"/>
  <c r="G7" i="14"/>
  <c r="F7" i="14"/>
  <c r="E7" i="14"/>
  <c r="D7" i="14"/>
  <c r="C7" i="14"/>
  <c r="A7" i="14"/>
  <c r="A7" i="13"/>
  <c r="I7" i="13"/>
  <c r="G7" i="13"/>
  <c r="F7" i="13"/>
  <c r="E7" i="13"/>
  <c r="D7" i="13"/>
  <c r="C7" i="13"/>
  <c r="M14" i="10"/>
  <c r="H10" i="10"/>
  <c r="G10" i="10"/>
  <c r="G14" i="10"/>
  <c r="F10" i="10"/>
  <c r="F14" i="10" s="1"/>
  <c r="H8" i="10"/>
  <c r="G8" i="10"/>
  <c r="G13" i="10"/>
  <c r="F8" i="10"/>
  <c r="F13" i="10" s="1"/>
  <c r="A10" i="10"/>
  <c r="A8" i="10"/>
  <c r="C9" i="10" s="1"/>
  <c r="C38" i="10"/>
  <c r="B38" i="10"/>
  <c r="D14" i="10" s="1"/>
  <c r="C37" i="10"/>
  <c r="B37" i="10"/>
  <c r="D13" i="10"/>
  <c r="C27" i="10"/>
  <c r="B27" i="10"/>
  <c r="A14" i="10" s="1"/>
  <c r="C26" i="10"/>
  <c r="B26" i="10"/>
  <c r="A13" i="10"/>
  <c r="F35" i="9"/>
  <c r="F34" i="9"/>
  <c r="A30" i="9"/>
  <c r="C31" i="9" s="1"/>
  <c r="N23" i="9"/>
  <c r="H16" i="9"/>
  <c r="G16" i="9"/>
  <c r="G23" i="9" s="1"/>
  <c r="F16" i="9"/>
  <c r="F23" i="9" s="1"/>
  <c r="K14" i="9"/>
  <c r="K30" i="9" s="1"/>
  <c r="G14" i="9"/>
  <c r="G22" i="9" s="1"/>
  <c r="F14" i="9"/>
  <c r="F22" i="9" s="1"/>
  <c r="A16" i="9"/>
  <c r="C17" i="9" s="1"/>
  <c r="A14" i="9"/>
  <c r="C83" i="9"/>
  <c r="B83" i="9"/>
  <c r="D35" i="9"/>
  <c r="C79" i="9"/>
  <c r="B79" i="9"/>
  <c r="D23" i="9" s="1"/>
  <c r="C78" i="9"/>
  <c r="B78" i="9"/>
  <c r="D22" i="9" s="1"/>
  <c r="C65" i="9"/>
  <c r="B65" i="9"/>
  <c r="A35" i="9" s="1"/>
  <c r="C61" i="9"/>
  <c r="B61" i="9"/>
  <c r="A23" i="9"/>
  <c r="C60" i="9"/>
  <c r="B60" i="9"/>
  <c r="A22" i="9" s="1"/>
  <c r="C11" i="10"/>
  <c r="C15" i="9"/>
  <c r="G30" i="9"/>
  <c r="G35" i="9" s="1"/>
  <c r="B58" i="9"/>
  <c r="C58" i="9"/>
  <c r="B75" i="9"/>
  <c r="D19" i="9" s="1"/>
  <c r="C75" i="9"/>
  <c r="F32" i="9"/>
  <c r="A26" i="9"/>
  <c r="C27" i="9" s="1"/>
  <c r="A28" i="9"/>
  <c r="C29" i="9" s="1"/>
  <c r="C25" i="9"/>
  <c r="C82" i="9"/>
  <c r="B82" i="9"/>
  <c r="D34" i="9" s="1"/>
  <c r="C81" i="9"/>
  <c r="B81" i="9"/>
  <c r="D33" i="9" s="1"/>
  <c r="B62" i="9"/>
  <c r="A32" i="9"/>
  <c r="C64" i="9"/>
  <c r="B64" i="9"/>
  <c r="A34" i="9" s="1"/>
  <c r="C63" i="9"/>
  <c r="B63" i="9"/>
  <c r="A33" i="9" s="1"/>
  <c r="C62" i="9"/>
  <c r="B56" i="9"/>
  <c r="A18" i="9" s="1"/>
  <c r="F33" i="9"/>
  <c r="F8" i="9"/>
  <c r="F19" i="9" s="1"/>
  <c r="A8" i="9"/>
  <c r="C57" i="9"/>
  <c r="B57" i="9"/>
  <c r="A19" i="9" s="1"/>
  <c r="H8" i="9"/>
  <c r="N19" i="9"/>
  <c r="C9" i="9"/>
  <c r="G6" i="13"/>
  <c r="G6" i="14"/>
  <c r="C36" i="10"/>
  <c r="B36" i="10"/>
  <c r="D12" i="10" s="1"/>
  <c r="C25" i="10"/>
  <c r="B25" i="10"/>
  <c r="A12" i="10"/>
  <c r="B59" i="9"/>
  <c r="A21" i="9"/>
  <c r="N21" i="9"/>
  <c r="N34" i="9" s="1"/>
  <c r="F12" i="9"/>
  <c r="F21" i="9" s="1"/>
  <c r="N20" i="9"/>
  <c r="N33" i="9" s="1"/>
  <c r="K18" i="9"/>
  <c r="K32" i="9"/>
  <c r="K10" i="9"/>
  <c r="K26" i="9" s="1"/>
  <c r="G10" i="9"/>
  <c r="G20" i="9" s="1"/>
  <c r="G33" i="9" s="1"/>
  <c r="G26" i="9"/>
  <c r="N6" i="9"/>
  <c r="N24" i="9" s="1"/>
  <c r="B76" i="9"/>
  <c r="D20" i="9" s="1"/>
  <c r="C76" i="9"/>
  <c r="B77" i="9"/>
  <c r="C77" i="9"/>
  <c r="C59" i="9"/>
  <c r="C56" i="9"/>
  <c r="A20" i="9"/>
  <c r="I6" i="14"/>
  <c r="F6" i="14"/>
  <c r="E6" i="14"/>
  <c r="D6" i="14"/>
  <c r="C6" i="14"/>
  <c r="A6" i="14"/>
  <c r="D21" i="9"/>
  <c r="I6" i="13"/>
  <c r="F6" i="13"/>
  <c r="E6" i="13"/>
  <c r="D6" i="13"/>
  <c r="C6" i="13"/>
  <c r="A6" i="13"/>
  <c r="H6" i="10"/>
  <c r="G6" i="10"/>
  <c r="G12" i="10"/>
  <c r="F6" i="10"/>
  <c r="F12" i="10" s="1"/>
  <c r="A6" i="10"/>
  <c r="G12" i="9"/>
  <c r="G21" i="9" s="1"/>
  <c r="G34" i="9" s="1"/>
  <c r="A12" i="9"/>
  <c r="D10" i="9"/>
  <c r="A10" i="9"/>
  <c r="C11" i="9" s="1"/>
  <c r="C7" i="9"/>
  <c r="F6" i="9"/>
  <c r="F18" i="9" s="1"/>
  <c r="C13" i="9"/>
  <c r="G32" i="9"/>
  <c r="G24" i="9"/>
  <c r="K20" i="9" l="1"/>
  <c r="K33" i="9" s="1"/>
  <c r="I12" i="7"/>
  <c r="J8" i="10" s="1"/>
  <c r="J17" i="10" s="1"/>
  <c r="K11" i="7"/>
  <c r="L6" i="10" s="1"/>
  <c r="C7" i="10"/>
  <c r="M12" i="9"/>
  <c r="M28" i="9" s="1"/>
  <c r="K12" i="7"/>
  <c r="L8" i="10" s="1"/>
  <c r="L17" i="10" s="1"/>
  <c r="L12" i="7"/>
  <c r="M13" i="10" s="1"/>
  <c r="J15" i="7"/>
  <c r="K8" i="24" s="1"/>
  <c r="G28" i="9"/>
  <c r="N22" i="9"/>
  <c r="N35" i="9" s="1"/>
  <c r="L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<sst xmlns="http://schemas.openxmlformats.org/spreadsheetml/2006/main" count="1273" uniqueCount="396">
  <si>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</si>
  <si>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</si>
  <si>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</si>
  <si>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</si>
  <si>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</si>
  <si>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</si>
  <si>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</si>
  <si>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</si>
  <si>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</si>
  <si>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</si>
  <si>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</si>
  <si>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</si>
  <si>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</si>
  <si>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</si>
  <si>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</si>
  <si>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</si>
  <si>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</si>
  <si>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</si>
  <si>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</si>
  <si>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</si>
  <si>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</si>
  <si>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</si>
  <si>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</si>
  <si>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</si>
  <si>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</si>
  <si>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</si>
  <si>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</si>
  <si>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</si>
  <si>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</si>
  <si>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</si>
  <si>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</si>
  <si>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</si>
  <si>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</si>
  <si>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</si>
  <si>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</si>
  <si>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</si>
  <si>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</si>
  <si>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</si>
  <si>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</si>
  <si>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</si>
  <si>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</si>
  <si>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</si>
  <si>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</si>
  <si>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</si>
  <si>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</si>
  <si>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</si>
  <si>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</si>
  <si>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</si>
  <si>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</si>
  <si>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</si>
  <si>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</si>
  <si>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</si>
  <si>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</si>
  <si>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</si>
  <si>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</si>
  <si>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</si>
  <si>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</si>
  <si>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</si>
  <si>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</si>
  <si>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</si>
  <si>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</si>
  <si>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</si>
  <si>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</si>
  <si>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</si>
  <si>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</si>
  <si>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</si>
  <si>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</si>
  <si>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</si>
  <si>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</si>
  <si>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</si>
  <si>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</si>
  <si>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</si>
  <si>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</si>
  <si>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</si>
  <si>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ELCHIG</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</si>
  <si>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</si>
  <si>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</si>
  <si>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</si>
  <si>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</si>
  <si>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</si>
  <si>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</si>
  <si>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</si>
  <si>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</si>
  <si>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</si>
  <si>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</si>
  <si>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</si>
  <si>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</si>
  <si>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</si>
  <si>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</si>
  <si>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</si>
  <si>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</si>
  <si>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</si>
  <si>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</si>
  <si>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~FI_T: EUR05</t>
  </si>
  <si>
    <t>ELCSOL</t>
  </si>
  <si>
    <t>COMELC</t>
  </si>
  <si>
    <t>ELCLOW</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</si>
  <si>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</si>
  <si>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</si>
  <si>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</si>
  <si>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</si>
  <si>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</si>
  <si>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</si>
  <si>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</si>
  <si>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</si>
  <si>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</si>
  <si>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</si>
  <si>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</si>
  <si>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</si>
  <si>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</si>
  <si>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</si>
  <si>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</si>
  <si>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</si>
  <si>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</si>
  <si>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</si>
  <si>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</si>
  <si>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</si>
  <si>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</si>
  <si>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</si>
  <si>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</si>
  <si>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</si>
  <si>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</si>
  <si>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</si>
  <si>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</si>
  <si>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</si>
  <si>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</si>
  <si>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</si>
  <si>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</si>
  <si>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</si>
  <si>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</si>
  <si>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</si>
  <si>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</si>
  <si>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</si>
  <si>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</si>
  <si>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</si>
  <si>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</si>
  <si>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</si>
  <si>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</si>
  <si>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</si>
  <si>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</si>
  <si>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</si>
  <si>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</si>
  <si>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</si>
  <si>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</si>
  <si>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</si>
  <si>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Battery (Lead-acid) Bulk ELC Storage: DayNite</t>
  </si>
  <si>
    <t>Diabatic CAES ELC Storage: DayNite</t>
  </si>
  <si>
    <t>Adiabatic CAES ELC Storage: DayNite</t>
  </si>
  <si>
    <t>Pumped Hydro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</si>
  <si>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</si>
  <si>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</si>
  <si>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</si>
  <si>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</si>
  <si>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</si>
  <si>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</si>
  <si>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</si>
  <si>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</si>
  <si>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</si>
  <si>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</si>
  <si>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</si>
  <si>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</si>
  <si>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</si>
  <si>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</si>
  <si>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</si>
  <si>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</si>
  <si>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</si>
  <si>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</si>
  <si>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</si>
  <si>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</si>
  <si>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</si>
  <si>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</si>
  <si>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</si>
  <si>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</si>
  <si>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</si>
  <si>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</si>
  <si>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</si>
  <si>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</si>
  <si>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</si>
  <si>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</si>
  <si>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</si>
  <si>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</si>
  <si>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</si>
  <si>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</si>
  <si>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</si>
  <si>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</si>
  <si>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</si>
  <si>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</si>
  <si>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</si>
  <si>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</si>
  <si>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</si>
  <si>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</si>
  <si>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</si>
  <si>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</si>
  <si>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</si>
  <si>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</si>
  <si>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</si>
  <si>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</si>
  <si>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</si>
  <si>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</si>
  <si>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</si>
  <si>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</si>
  <si>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</si>
  <si>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</si>
  <si>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</si>
  <si>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</si>
  <si>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</si>
  <si>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</si>
  <si>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</si>
  <si>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</si>
  <si>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</si>
  <si>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</si>
  <si>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</si>
  <si>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</si>
  <si>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</si>
  <si>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</si>
  <si>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</si>
  <si>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</si>
  <si>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</si>
  <si>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</si>
  <si>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</si>
  <si>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</si>
  <si>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</si>
  <si>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</si>
  <si>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</si>
  <si>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</si>
  <si>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</si>
  <si>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</si>
  <si>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</si>
  <si>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</si>
  <si>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</si>
  <si>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</si>
  <si>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</si>
  <si>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</si>
  <si>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</si>
  <si>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</si>
  <si>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</si>
  <si>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</si>
  <si>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</si>
  <si>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</si>
  <si>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</si>
  <si>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</si>
  <si>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</si>
  <si>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</si>
  <si>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</si>
  <si>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</si>
  <si>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</si>
  <si>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</si>
  <si>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</si>
  <si>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</si>
  <si>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</si>
  <si>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</si>
  <si>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</si>
  <si>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</si>
  <si>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</si>
  <si>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</si>
  <si>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</si>
  <si>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</si>
  <si>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</si>
  <si>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</si>
  <si>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</si>
  <si>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</si>
  <si>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</si>
  <si>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</si>
  <si>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</si>
  <si>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</si>
  <si>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</si>
  <si>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</si>
  <si>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</si>
  <si>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</si>
  <si>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</si>
  <si>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</si>
  <si>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</si>
  <si>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Dummy commodity in input to the accompaning tech to represent power</t>
  </si>
  <si>
    <t>ELE,STG</t>
  </si>
  <si>
    <t>SEASON</t>
  </si>
  <si>
    <t>Bulk Storage - PHS, CAES and batteries</t>
  </si>
  <si>
    <t>DUMDCAES</t>
  </si>
  <si>
    <t>Dummy Process collecting input fuels for Diabatic CAES</t>
  </si>
  <si>
    <t>Dummy Commodity collecting input fuels for Diabatic CAES</t>
  </si>
  <si>
    <t>€/Gja</t>
  </si>
  <si>
    <t>Thermal Storage (LWT): Seasonal</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</si>
  <si>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</si>
  <si>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</si>
  <si>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</si>
  <si>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</si>
  <si>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</si>
  <si>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</si>
  <si>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</si>
  <si>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</si>
  <si>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</si>
  <si>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</si>
  <si>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</si>
  <si>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</si>
  <si>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</si>
  <si>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</si>
  <si>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</si>
  <si>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</si>
  <si>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</si>
  <si>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</si>
  <si>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</si>
  <si>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</si>
  <si>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</si>
  <si>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</si>
  <si>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</si>
  <si>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</si>
  <si>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</si>
  <si>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</si>
  <si>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</si>
  <si>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</si>
  <si>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</si>
  <si>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</si>
  <si>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</si>
  <si>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</si>
  <si>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</si>
  <si>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</si>
  <si>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</si>
  <si>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</si>
  <si>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</si>
  <si>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</si>
  <si>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</si>
  <si>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</si>
  <si>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</si>
  <si>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</si>
  <si>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</si>
  <si>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</si>
  <si>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</si>
  <si>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</si>
  <si>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</si>
  <si>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</si>
  <si>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</si>
  <si>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</si>
  <si>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</si>
  <si>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</si>
  <si>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</si>
  <si>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</si>
  <si>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</si>
  <si>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</si>
  <si>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</si>
  <si>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</si>
  <si>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</si>
  <si>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INVCOST~2006</t>
  </si>
  <si>
    <t>ACTCOST</t>
  </si>
  <si>
    <t>ELE_CONS_CAP</t>
  </si>
  <si>
    <t>Electricity capacity consumed by non storage</t>
  </si>
  <si>
    <t>EUCAPDUM</t>
  </si>
  <si>
    <t xml:space="preserve">Dummy for ele cons capacity </t>
  </si>
  <si>
    <t>Curtailed electricity</t>
  </si>
  <si>
    <t>ELCSOLCUR</t>
  </si>
  <si>
    <t>NCAP_AF</t>
  </si>
  <si>
    <t>INVCOST~2015</t>
  </si>
  <si>
    <t>FIXOM~2015</t>
  </si>
  <si>
    <t>VAROM~2015</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</si>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</sst>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_);\(&quot;$&quot;#,##0\)"/>
    <numFmt numFmtId="44" formatCode="_(&quot;$&quot;* #,##0.00_);_(&quot;$&quot;* \(#,##0.00\);_(&quot;$&quot;* &quot;-&quot;??_);_(@_)"/>
    <numFmt numFmtId="164" formatCode="_-* #,##0_-;\-* #,##0_-;_-* &quot;-&quot;_-;_-@_-"/>
    <numFmt numFmtId="165" formatCode="_-* #,##0.00_-;\-* #,##0.00_-;_-*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_-&quot;$&quot;* #,##0.00_-;\-&quot;$&quot;* #,##0.00_-;_-&quot;$&quot;* &quot;-&quot;??_-;_-@_-"/>
    <numFmt numFmtId="187" formatCode="General_)"/>
    <numFmt numFmtId="188" formatCode="\Te\x\t"/>
  </numFmts>
  <fonts count="11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s>
  <fills count="5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0" fillId="0" borderId="0"/>
    <xf numFmtId="0" fontId="18" fillId="0" borderId="0"/>
    <xf numFmtId="9" fontId="17" fillId="0" borderId="0" applyFont="0" applyFill="0" applyBorder="0" applyAlignment="0" applyProtection="0"/>
    <xf numFmtId="0" fontId="26" fillId="0" borderId="0"/>
    <xf numFmtId="0" fontId="20" fillId="0" borderId="0"/>
    <xf numFmtId="9" fontId="20" fillId="0" borderId="0" applyFont="0" applyFill="0" applyBorder="0" applyAlignment="0" applyProtection="0"/>
    <xf numFmtId="0" fontId="16" fillId="0" borderId="0"/>
    <xf numFmtId="0" fontId="17" fillId="0" borderId="0"/>
    <xf numFmtId="0" fontId="34" fillId="8"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13" borderId="6" applyNumberFormat="0" applyAlignment="0" applyProtection="0"/>
    <xf numFmtId="0" fontId="45" fillId="13" borderId="6" applyNumberFormat="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48" fillId="28" borderId="0" applyNumberFormat="0" applyBorder="0" applyAlignment="0" applyProtection="0"/>
    <xf numFmtId="0" fontId="16" fillId="0" borderId="0"/>
    <xf numFmtId="0" fontId="17" fillId="0" borderId="0"/>
    <xf numFmtId="0" fontId="17" fillId="0" borderId="0"/>
    <xf numFmtId="0" fontId="17" fillId="0" borderId="0"/>
    <xf numFmtId="0" fontId="34" fillId="0" borderId="0"/>
    <xf numFmtId="0" fontId="17" fillId="0" borderId="0"/>
    <xf numFmtId="0" fontId="34" fillId="0" borderId="0"/>
    <xf numFmtId="0" fontId="34" fillId="0" borderId="0"/>
    <xf numFmtId="0" fontId="17" fillId="0" borderId="0"/>
    <xf numFmtId="0" fontId="17" fillId="0" borderId="0"/>
    <xf numFmtId="0" fontId="17" fillId="0" borderId="0"/>
    <xf numFmtId="0" fontId="16" fillId="0" borderId="0"/>
    <xf numFmtId="0" fontId="17" fillId="0" borderId="0"/>
    <xf numFmtId="0" fontId="16" fillId="0" borderId="0"/>
    <xf numFmtId="0" fontId="34" fillId="0" borderId="0"/>
    <xf numFmtId="0" fontId="34" fillId="0" borderId="0"/>
    <xf numFmtId="0" fontId="17" fillId="0" borderId="0"/>
    <xf numFmtId="0" fontId="34" fillId="0" borderId="0"/>
    <xf numFmtId="0" fontId="16" fillId="0" borderId="0"/>
    <xf numFmtId="0" fontId="16" fillId="0" borderId="0"/>
    <xf numFmtId="0" fontId="17" fillId="0" borderId="0"/>
    <xf numFmtId="0" fontId="17" fillId="0" borderId="0"/>
    <xf numFmtId="0" fontId="17" fillId="0" borderId="0"/>
    <xf numFmtId="0" fontId="17" fillId="0" borderId="0"/>
    <xf numFmtId="0" fontId="34" fillId="0" borderId="0"/>
    <xf numFmtId="0" fontId="17" fillId="0" borderId="0"/>
    <xf numFmtId="0" fontId="17" fillId="0" borderId="0"/>
    <xf numFmtId="0" fontId="34" fillId="0" borderId="0"/>
    <xf numFmtId="0" fontId="17" fillId="0" borderId="0"/>
    <xf numFmtId="0" fontId="17" fillId="0" borderId="0"/>
    <xf numFmtId="0" fontId="17" fillId="0" borderId="0"/>
    <xf numFmtId="0" fontId="34" fillId="0" borderId="0"/>
    <xf numFmtId="0" fontId="17" fillId="0" borderId="0"/>
    <xf numFmtId="0" fontId="34" fillId="0" borderId="0"/>
    <xf numFmtId="0" fontId="34" fillId="0" borderId="0"/>
    <xf numFmtId="0" fontId="16" fillId="0" borderId="0"/>
    <xf numFmtId="0" fontId="34" fillId="0" borderId="0"/>
    <xf numFmtId="0" fontId="34" fillId="0" borderId="0"/>
    <xf numFmtId="0" fontId="16" fillId="0" borderId="0"/>
    <xf numFmtId="0" fontId="16" fillId="0" borderId="0"/>
    <xf numFmtId="0" fontId="34" fillId="0" borderId="0"/>
    <xf numFmtId="0" fontId="17" fillId="0" borderId="0"/>
    <xf numFmtId="0" fontId="34" fillId="0" borderId="0"/>
    <xf numFmtId="0" fontId="34" fillId="0" borderId="0"/>
    <xf numFmtId="0" fontId="17" fillId="0" borderId="0"/>
    <xf numFmtId="0" fontId="16" fillId="0" borderId="0"/>
    <xf numFmtId="0" fontId="17" fillId="0" borderId="0" applyNumberFormat="0" applyFont="0" applyFill="0" applyBorder="0" applyAlignment="0" applyProtection="0"/>
    <xf numFmtId="0" fontId="17" fillId="0" borderId="0"/>
    <xf numFmtId="0" fontId="17" fillId="0" borderId="0"/>
    <xf numFmtId="0" fontId="17" fillId="0" borderId="0"/>
    <xf numFmtId="0" fontId="1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26" borderId="13"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173" fontId="50" fillId="0" borderId="0" applyFont="0" applyFill="0" applyBorder="0" applyAlignment="0" applyProtection="0"/>
    <xf numFmtId="174" fontId="50" fillId="0" borderId="0" applyFont="0" applyFill="0" applyBorder="0" applyAlignment="0" applyProtection="0"/>
    <xf numFmtId="175" fontId="50" fillId="0" borderId="0" applyFont="0" applyFill="0" applyBorder="0" applyAlignment="0" applyProtection="0"/>
    <xf numFmtId="0" fontId="17" fillId="0" borderId="14" applyNumberFormat="0" applyFill="0" applyProtection="0">
      <alignment horizontal="right"/>
    </xf>
    <xf numFmtId="0" fontId="17" fillId="0" borderId="14" applyNumberFormat="0" applyFill="0" applyProtection="0">
      <alignment horizontal="right"/>
    </xf>
    <xf numFmtId="0" fontId="22" fillId="30" borderId="14" applyNumberFormat="0" applyProtection="0">
      <alignment horizontal="right"/>
    </xf>
    <xf numFmtId="0" fontId="51" fillId="30" borderId="0" applyNumberFormat="0" applyBorder="0" applyProtection="0">
      <alignment horizontal="left"/>
    </xf>
    <xf numFmtId="0" fontId="22" fillId="30" borderId="14" applyNumberFormat="0" applyProtection="0">
      <alignment horizontal="left"/>
    </xf>
    <xf numFmtId="0" fontId="17" fillId="0" borderId="14" applyNumberFormat="0" applyFill="0" applyProtection="0">
      <alignment horizontal="right"/>
    </xf>
    <xf numFmtId="0" fontId="17" fillId="0" borderId="14" applyNumberFormat="0" applyFill="0" applyProtection="0">
      <alignment horizontal="right"/>
    </xf>
    <xf numFmtId="0" fontId="52" fillId="31" borderId="0" applyNumberFormat="0" applyBorder="0" applyProtection="0">
      <alignment horizontal="left"/>
    </xf>
    <xf numFmtId="0" fontId="53" fillId="0" borderId="0" applyNumberFormat="0" applyFill="0" applyBorder="0" applyAlignment="0" applyProtection="0"/>
    <xf numFmtId="0" fontId="53" fillId="0" borderId="0" applyNumberFormat="0" applyFill="0" applyBorder="0" applyAlignment="0" applyProtection="0"/>
    <xf numFmtId="0" fontId="35" fillId="0" borderId="15" applyNumberFormat="0" applyFill="0" applyAlignment="0" applyProtection="0"/>
    <xf numFmtId="0" fontId="35" fillId="0" borderId="15" applyNumberFormat="0" applyFill="0" applyAlignment="0" applyProtection="0"/>
    <xf numFmtId="176" fontId="5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34" borderId="0" applyNumberFormat="0" applyBorder="0" applyAlignment="0" applyProtection="0"/>
    <xf numFmtId="0" fontId="15" fillId="0" borderId="0"/>
    <xf numFmtId="0" fontId="17" fillId="0" borderId="0"/>
    <xf numFmtId="0" fontId="14" fillId="0" borderId="0"/>
    <xf numFmtId="49" fontId="17" fillId="35" borderId="18">
      <alignment vertical="top" wrapText="1"/>
    </xf>
    <xf numFmtId="3" fontId="67" fillId="0" borderId="18">
      <alignment horizontal="right" vertical="top"/>
    </xf>
    <xf numFmtId="0" fontId="22" fillId="36" borderId="14">
      <alignment horizontal="centerContinuous" vertical="top" wrapText="1"/>
    </xf>
    <xf numFmtId="0" fontId="68" fillId="0" borderId="0">
      <alignment vertical="top" wrapText="1"/>
    </xf>
    <xf numFmtId="0" fontId="69" fillId="0" borderId="0"/>
    <xf numFmtId="0" fontId="17" fillId="29" borderId="12" applyNumberFormat="0" applyFont="0" applyAlignment="0" applyProtection="0"/>
    <xf numFmtId="179" fontId="70" fillId="0" borderId="0">
      <alignment horizontal="right"/>
    </xf>
    <xf numFmtId="0" fontId="68" fillId="0" borderId="0">
      <alignment vertical="top" wrapText="1"/>
    </xf>
    <xf numFmtId="180" fontId="71" fillId="37" borderId="19">
      <alignment vertical="center"/>
    </xf>
    <xf numFmtId="167" fontId="72" fillId="37" borderId="19">
      <alignment vertical="center"/>
    </xf>
    <xf numFmtId="180" fontId="73" fillId="38" borderId="19">
      <alignment vertical="center"/>
    </xf>
    <xf numFmtId="0" fontId="17" fillId="39" borderId="20" applyBorder="0">
      <alignment horizontal="left" vertical="center"/>
    </xf>
    <xf numFmtId="49" fontId="17" fillId="40" borderId="14">
      <alignment vertical="center" wrapText="1"/>
    </xf>
    <xf numFmtId="0" fontId="17" fillId="41" borderId="21">
      <alignment horizontal="left" vertical="center" wrapText="1"/>
    </xf>
    <xf numFmtId="0" fontId="74" fillId="42" borderId="14">
      <alignment horizontal="left" vertical="center" wrapText="1"/>
    </xf>
    <xf numFmtId="0" fontId="17" fillId="43" borderId="14">
      <alignment horizontal="left" vertical="center" wrapText="1"/>
    </xf>
    <xf numFmtId="0" fontId="17" fillId="44" borderId="14">
      <alignment horizontal="left" vertical="center" wrapText="1"/>
    </xf>
    <xf numFmtId="0" fontId="66" fillId="0" borderId="0" applyNumberFormat="0" applyFill="0" applyBorder="0" applyAlignment="0" applyProtection="0">
      <alignment vertical="center"/>
    </xf>
    <xf numFmtId="0" fontId="13" fillId="0" borderId="0"/>
    <xf numFmtId="9" fontId="13" fillId="0" borderId="0" applyFont="0" applyFill="0" applyBorder="0" applyAlignment="0" applyProtection="0"/>
    <xf numFmtId="0" fontId="12" fillId="0" borderId="0"/>
    <xf numFmtId="9" fontId="12" fillId="0" borderId="0" applyFont="0" applyFill="0" applyBorder="0" applyAlignment="0" applyProtection="0"/>
    <xf numFmtId="165" fontId="75" fillId="0" borderId="0" applyFont="0" applyFill="0" applyBorder="0" applyAlignment="0" applyProtection="0"/>
    <xf numFmtId="165" fontId="17"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9" fontId="75" fillId="0" borderId="0" applyFont="0" applyFill="0" applyBorder="0" applyAlignment="0" applyProtection="0"/>
    <xf numFmtId="170" fontId="75" fillId="0" borderId="0" applyFont="0" applyFill="0" applyBorder="0" applyAlignment="0" applyProtection="0"/>
    <xf numFmtId="171" fontId="75" fillId="0" borderId="0" applyFont="0" applyFill="0" applyBorder="0" applyAlignment="0" applyProtection="0"/>
    <xf numFmtId="171" fontId="75" fillId="0" borderId="0" applyFont="0" applyFill="0" applyBorder="0" applyAlignment="0" applyProtection="0"/>
    <xf numFmtId="0" fontId="11"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11"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11" fillId="0" borderId="0"/>
    <xf numFmtId="0" fontId="11" fillId="0" borderId="0"/>
    <xf numFmtId="0" fontId="75" fillId="0" borderId="0"/>
    <xf numFmtId="0" fontId="75" fillId="29" borderId="12" applyNumberFormat="0" applyFont="0" applyAlignment="0" applyProtection="0"/>
    <xf numFmtId="172"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0" fontId="98" fillId="0" borderId="0" applyNumberFormat="0" applyFill="0" applyBorder="0" applyAlignment="0" applyProtection="0">
      <alignment vertical="center"/>
    </xf>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7" fillId="51"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49" fontId="88" fillId="0" borderId="14" applyNumberFormat="0" applyFont="0" applyFill="0" applyBorder="0" applyProtection="0">
      <alignment horizontal="left" vertical="center" indent="2"/>
    </xf>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17" fillId="0" borderId="0" applyNumberFormat="0" applyFont="0" applyFill="0" applyBorder="0" applyProtection="0">
      <alignment horizontal="left" vertical="center" indent="5"/>
    </xf>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19"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89" fillId="35" borderId="0" applyBorder="0" applyAlignment="0"/>
    <xf numFmtId="0" fontId="88" fillId="35" borderId="0" applyBorder="0">
      <alignment horizontal="right" vertical="center"/>
    </xf>
    <xf numFmtId="0" fontId="88" fillId="3" borderId="0" applyBorder="0">
      <alignment horizontal="right" vertical="center"/>
    </xf>
    <xf numFmtId="0" fontId="88" fillId="3" borderId="0" applyBorder="0">
      <alignment horizontal="right" vertical="center"/>
    </xf>
    <xf numFmtId="0" fontId="87" fillId="3" borderId="14">
      <alignment horizontal="right" vertical="center"/>
    </xf>
    <xf numFmtId="0" fontId="90" fillId="3" borderId="14">
      <alignment horizontal="right" vertical="center"/>
    </xf>
    <xf numFmtId="0" fontId="87" fillId="46" borderId="14">
      <alignment horizontal="right" vertical="center"/>
    </xf>
    <xf numFmtId="0" fontId="87" fillId="46" borderId="14">
      <alignment horizontal="right" vertical="center"/>
    </xf>
    <xf numFmtId="0" fontId="87" fillId="46" borderId="24">
      <alignment horizontal="right" vertical="center"/>
    </xf>
    <xf numFmtId="0" fontId="87" fillId="46" borderId="25">
      <alignment horizontal="right" vertical="center"/>
    </xf>
    <xf numFmtId="0" fontId="87" fillId="46" borderId="26">
      <alignment horizontal="right" vertical="center"/>
    </xf>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49" fillId="26" borderId="13" applyNumberFormat="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57" fillId="34"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4" fontId="89" fillId="0" borderId="27" applyFill="0" applyBorder="0" applyProtection="0">
      <alignment horizontal="right" vertical="center"/>
    </xf>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82" fontId="17" fillId="0" borderId="0" applyFont="0" applyFill="0" applyBorder="0" applyAlignment="0" applyProtection="0"/>
    <xf numFmtId="165" fontId="17" fillId="0" borderId="0" applyFont="0" applyFill="0" applyBorder="0" applyAlignment="0" applyProtection="0"/>
    <xf numFmtId="165" fontId="34"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9" fillId="0" borderId="0" applyFont="0" applyFill="0" applyBorder="0" applyAlignment="0" applyProtection="0"/>
    <xf numFmtId="182"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0" fontId="87" fillId="0" borderId="0" applyNumberFormat="0">
      <alignment horizontal="right"/>
    </xf>
    <xf numFmtId="44" fontId="17" fillId="0" borderId="0" applyFont="0" applyFill="0" applyBorder="0" applyAlignment="0" applyProtection="0"/>
    <xf numFmtId="0" fontId="88" fillId="46" borderId="28">
      <alignment horizontal="left" vertical="center" wrapText="1" indent="2"/>
    </xf>
    <xf numFmtId="0" fontId="88" fillId="0" borderId="28">
      <alignment horizontal="left" vertical="center" wrapText="1" indent="2"/>
    </xf>
    <xf numFmtId="0" fontId="88" fillId="3" borderId="25">
      <alignment horizontal="left" vertical="center"/>
    </xf>
    <xf numFmtId="0" fontId="87" fillId="0" borderId="29">
      <alignment horizontal="left" vertical="top" wrapText="1"/>
    </xf>
    <xf numFmtId="0" fontId="45" fillId="13" borderId="6" applyNumberFormat="0" applyAlignment="0" applyProtection="0"/>
    <xf numFmtId="0" fontId="93" fillId="0" borderId="3"/>
    <xf numFmtId="0" fontId="35" fillId="0" borderId="15" applyNumberFormat="0" applyFill="0" applyAlignment="0" applyProtection="0"/>
    <xf numFmtId="0" fontId="40" fillId="0" borderId="0" applyNumberFormat="0" applyFill="0" applyBorder="0" applyAlignment="0" applyProtection="0"/>
    <xf numFmtId="0" fontId="85" fillId="0" borderId="0">
      <alignment vertical="top"/>
    </xf>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9" fontId="17" fillId="0" borderId="0" applyFont="0" applyFill="0" applyBorder="0" applyAlignment="0" applyProtection="0"/>
    <xf numFmtId="18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8"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1" fontId="17" fillId="0" borderId="0" applyFont="0" applyFill="0" applyBorder="0" applyAlignment="0" applyProtection="0"/>
    <xf numFmtId="171" fontId="17" fillId="0" borderId="0" applyFont="0" applyFill="0" applyBorder="0" applyAlignment="0" applyProtection="0"/>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79" fillId="0" borderId="0" applyFont="0" applyFill="0" applyBorder="0" applyAlignment="0" applyProtection="0"/>
    <xf numFmtId="11" fontId="79" fillId="0" borderId="0" applyFont="0" applyFill="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101" fillId="4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77" fillId="4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69" fillId="0" borderId="0" applyNumberFormat="0" applyFill="0" applyBorder="0" applyAlignment="0" applyProtection="0"/>
    <xf numFmtId="0" fontId="86" fillId="0" borderId="0" applyNumberFormat="0" applyFill="0" applyBorder="0" applyAlignment="0" applyProtection="0">
      <alignment vertical="top"/>
      <protection locked="0"/>
    </xf>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102" fillId="50" borderId="23"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4" fontId="88" fillId="0" borderId="0" applyBorder="0">
      <alignment horizontal="right" vertical="center"/>
    </xf>
    <xf numFmtId="0" fontId="88" fillId="0" borderId="14">
      <alignment horizontal="right" vertical="center"/>
    </xf>
    <xf numFmtId="1" fontId="94" fillId="3" borderId="0" applyBorder="0">
      <alignment horizontal="right" vertical="center"/>
    </xf>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8"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78" fillId="49"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7" fillId="0" borderId="0"/>
    <xf numFmtId="0" fontId="34" fillId="0" borderId="0"/>
    <xf numFmtId="0" fontId="34" fillId="0" borderId="0"/>
    <xf numFmtId="0" fontId="17" fillId="0" borderId="0"/>
    <xf numFmtId="0" fontId="7" fillId="0" borderId="0"/>
    <xf numFmtId="0" fontId="7" fillId="0" borderId="0"/>
    <xf numFmtId="0" fontId="34" fillId="0" borderId="0"/>
    <xf numFmtId="0" fontId="17"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91" fillId="0" borderId="0"/>
    <xf numFmtId="0" fontId="17" fillId="0" borderId="0"/>
    <xf numFmtId="0" fontId="17" fillId="0" borderId="0">
      <alignment vertical="top"/>
    </xf>
    <xf numFmtId="0" fontId="7" fillId="0" borderId="0"/>
    <xf numFmtId="0" fontId="17" fillId="0" borderId="0"/>
    <xf numFmtId="0" fontId="7" fillId="0" borderId="0"/>
    <xf numFmtId="0" fontId="34"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7" fillId="0" borderId="0"/>
    <xf numFmtId="0" fontId="7" fillId="0" borderId="0"/>
    <xf numFmtId="0" fontId="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alignment vertical="top"/>
    </xf>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5"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5"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96" fillId="0" borderId="0"/>
    <xf numFmtId="0" fontId="34" fillId="0" borderId="0"/>
    <xf numFmtId="0" fontId="96" fillId="0" borderId="0"/>
    <xf numFmtId="0" fontId="34" fillId="0" borderId="0"/>
    <xf numFmtId="0" fontId="17" fillId="0" borderId="0"/>
    <xf numFmtId="0" fontId="17" fillId="0" borderId="0"/>
    <xf numFmtId="0" fontId="17" fillId="0" borderId="0"/>
    <xf numFmtId="0" fontId="17" fillId="0" borderId="0"/>
    <xf numFmtId="0" fontId="9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1" fillId="0" borderId="0"/>
    <xf numFmtId="0" fontId="9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34" fillId="0" borderId="0"/>
    <xf numFmtId="0" fontId="17" fillId="0" borderId="0"/>
    <xf numFmtId="0" fontId="7" fillId="0" borderId="0"/>
    <xf numFmtId="0" fontId="34"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92" fillId="0" borderId="0"/>
    <xf numFmtId="0" fontId="92" fillId="0" borderId="0"/>
    <xf numFmtId="0" fontId="17" fillId="0" borderId="0"/>
    <xf numFmtId="0" fontId="34" fillId="0" borderId="0"/>
    <xf numFmtId="0" fontId="7" fillId="0" borderId="0"/>
    <xf numFmtId="0" fontId="17" fillId="0" borderId="0"/>
    <xf numFmtId="0" fontId="34" fillId="0" borderId="0"/>
    <xf numFmtId="0" fontId="103" fillId="0" borderId="0"/>
    <xf numFmtId="0" fontId="17" fillId="0" borderId="0"/>
    <xf numFmtId="0" fontId="34" fillId="0" borderId="0"/>
    <xf numFmtId="0" fontId="17" fillId="0" borderId="0"/>
    <xf numFmtId="0" fontId="17" fillId="0" borderId="0"/>
    <xf numFmtId="0" fontId="17" fillId="0" borderId="0"/>
    <xf numFmtId="0" fontId="17" fillId="0" borderId="0"/>
    <xf numFmtId="0" fontId="91" fillId="0" borderId="0"/>
    <xf numFmtId="0" fontId="34" fillId="0" borderId="0"/>
    <xf numFmtId="0" fontId="17" fillId="0" borderId="0"/>
    <xf numFmtId="0" fontId="1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1" fillId="0" borderId="0"/>
    <xf numFmtId="0" fontId="91" fillId="0" borderId="0"/>
    <xf numFmtId="0" fontId="91" fillId="0" borderId="0"/>
    <xf numFmtId="0" fontId="17" fillId="0" borderId="0"/>
    <xf numFmtId="0" fontId="7" fillId="0" borderId="0"/>
    <xf numFmtId="0" fontId="17" fillId="0" borderId="0"/>
    <xf numFmtId="0" fontId="34" fillId="0" borderId="0"/>
    <xf numFmtId="0" fontId="7" fillId="0" borderId="0"/>
    <xf numFmtId="0" fontId="34" fillId="0" borderId="0"/>
    <xf numFmtId="0" fontId="17" fillId="0" borderId="0"/>
    <xf numFmtId="0" fontId="17" fillId="0" borderId="0"/>
    <xf numFmtId="0" fontId="7" fillId="0" borderId="0"/>
    <xf numFmtId="0" fontId="100" fillId="0" borderId="0"/>
    <xf numFmtId="0" fontId="7" fillId="0" borderId="0"/>
    <xf numFmtId="0" fontId="34" fillId="0" borderId="0"/>
    <xf numFmtId="0" fontId="17" fillId="0" borderId="0"/>
    <xf numFmtId="0" fontId="17" fillId="0" borderId="0"/>
    <xf numFmtId="0" fontId="34" fillId="0" borderId="0"/>
    <xf numFmtId="0" fontId="7" fillId="0" borderId="0"/>
    <xf numFmtId="0" fontId="17" fillId="0" borderId="0"/>
    <xf numFmtId="0" fontId="7" fillId="0" borderId="0"/>
    <xf numFmtId="0" fontId="17" fillId="0" borderId="0"/>
    <xf numFmtId="0" fontId="17" fillId="0" borderId="0"/>
    <xf numFmtId="0" fontId="7" fillId="0" borderId="0"/>
    <xf numFmtId="0" fontId="34" fillId="0" borderId="0"/>
    <xf numFmtId="0" fontId="91" fillId="0" borderId="0"/>
    <xf numFmtId="0" fontId="17" fillId="0" borderId="0"/>
    <xf numFmtId="0" fontId="7" fillId="0" borderId="0"/>
    <xf numFmtId="0" fontId="34" fillId="0" borderId="0"/>
    <xf numFmtId="0" fontId="34" fillId="0" borderId="0"/>
    <xf numFmtId="0" fontId="7" fillId="0" borderId="0"/>
    <xf numFmtId="0" fontId="7" fillId="0" borderId="0"/>
    <xf numFmtId="0" fontId="34" fillId="0" borderId="0"/>
    <xf numFmtId="0" fontId="7" fillId="0" borderId="0"/>
    <xf numFmtId="0" fontId="34" fillId="0" borderId="0"/>
    <xf numFmtId="0" fontId="7" fillId="0" borderId="0"/>
    <xf numFmtId="0" fontId="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17" fillId="0" borderId="0"/>
    <xf numFmtId="0" fontId="34" fillId="0" borderId="0"/>
    <xf numFmtId="0" fontId="17" fillId="0" borderId="0"/>
    <xf numFmtId="0" fontId="17" fillId="0" borderId="0"/>
    <xf numFmtId="0" fontId="17" fillId="0" borderId="0"/>
    <xf numFmtId="0" fontId="17" fillId="0" borderId="0"/>
    <xf numFmtId="0" fontId="96"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96" fillId="0" borderId="0"/>
    <xf numFmtId="0" fontId="1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34" fillId="0" borderId="0"/>
    <xf numFmtId="0" fontId="7" fillId="0" borderId="0"/>
    <xf numFmtId="0" fontId="17" fillId="0" borderId="0"/>
    <xf numFmtId="0" fontId="34"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4" fontId="88" fillId="0" borderId="14" applyFill="0" applyBorder="0" applyProtection="0">
      <alignment horizontal="right" vertical="center"/>
    </xf>
    <xf numFmtId="0" fontId="89" fillId="0" borderId="0" applyNumberFormat="0" applyFill="0" applyBorder="0" applyProtection="0">
      <alignment horizontal="left" vertical="center"/>
    </xf>
    <xf numFmtId="0" fontId="88" fillId="0" borderId="14" applyNumberFormat="0" applyFill="0" applyAlignment="0" applyProtection="0"/>
    <xf numFmtId="0" fontId="17" fillId="52" borderId="0" applyNumberFormat="0" applyFont="0" applyBorder="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34"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79" fillId="29" borderId="12" applyNumberFormat="0" applyFont="0" applyAlignment="0" applyProtection="0"/>
    <xf numFmtId="0" fontId="17" fillId="29" borderId="12" applyNumberFormat="0" applyFont="0" applyAlignment="0" applyProtection="0"/>
    <xf numFmtId="0" fontId="79"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184" fontId="88" fillId="53" borderId="14" applyNumberFormat="0" applyFont="0" applyBorder="0" applyAlignment="0" applyProtection="0">
      <alignment horizontal="right" vertical="center"/>
    </xf>
    <xf numFmtId="9" fontId="79"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0" fontId="37" fillId="9" borderId="0" applyNumberFormat="0" applyBorder="0" applyAlignment="0" applyProtection="0"/>
    <xf numFmtId="0" fontId="88" fillId="52" borderId="14"/>
    <xf numFmtId="0" fontId="68" fillId="0" borderId="0">
      <alignment vertical="top" wrapText="1"/>
    </xf>
    <xf numFmtId="0" fontId="99" fillId="0" borderId="0"/>
    <xf numFmtId="0" fontId="17" fillId="0" borderId="0"/>
    <xf numFmtId="0" fontId="17" fillId="0" borderId="0"/>
    <xf numFmtId="0" fontId="17" fillId="0" borderId="0"/>
    <xf numFmtId="0" fontId="85" fillId="0" borderId="0">
      <alignment vertical="top"/>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0" fontId="17" fillId="0" borderId="14" applyNumberFormat="0" applyFill="0" applyProtection="0">
      <alignment horizontal="right"/>
    </xf>
    <xf numFmtId="49" fontId="79" fillId="0" borderId="14" applyFill="0" applyProtection="0">
      <alignment horizontal="right"/>
    </xf>
    <xf numFmtId="0" fontId="17" fillId="0" borderId="14" applyNumberFormat="0"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3" fillId="0" borderId="0" applyNumberFormat="0" applyFill="0" applyBorder="0" applyAlignment="0" applyProtection="0"/>
    <xf numFmtId="0" fontId="42" fillId="0" borderId="8"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6" fillId="0" borderId="11"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9" fillId="27" borderId="7" applyNumberFormat="0" applyAlignment="0" applyProtection="0"/>
    <xf numFmtId="0" fontId="97" fillId="0" borderId="0" applyNumberFormat="0" applyFill="0" applyBorder="0" applyAlignment="0" applyProtection="0"/>
    <xf numFmtId="0" fontId="88" fillId="0" borderId="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5" fontId="17" fillId="0" borderId="0" applyFont="0" applyFill="0" applyBorder="0" applyAlignment="0" applyProtection="0"/>
    <xf numFmtId="165" fontId="34"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9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9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86" fontId="17" fillId="0" borderId="0" applyFont="0" applyFill="0" applyBorder="0" applyAlignment="0" applyProtection="0"/>
    <xf numFmtId="185"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182" fontId="17" fillId="0" borderId="0" applyFont="0" applyFill="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5" fontId="110" fillId="0" borderId="0">
      <alignment vertical="center"/>
    </xf>
    <xf numFmtId="0" fontId="6" fillId="0" borderId="0"/>
    <xf numFmtId="0" fontId="6" fillId="0" borderId="0"/>
    <xf numFmtId="0" fontId="6" fillId="0" borderId="0"/>
    <xf numFmtId="0" fontId="6" fillId="0" borderId="0"/>
    <xf numFmtId="5" fontId="110" fillId="0" borderId="0">
      <alignment vertical="center"/>
    </xf>
    <xf numFmtId="5" fontId="110" fillId="0" borderId="0">
      <alignment vertical="center"/>
    </xf>
    <xf numFmtId="5" fontId="110" fillId="0" borderId="0">
      <alignment vertical="center"/>
    </xf>
    <xf numFmtId="5" fontId="11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5" fontId="110" fillId="0" borderId="0">
      <alignment vertical="center"/>
    </xf>
    <xf numFmtId="5" fontId="110" fillId="0" borderId="0">
      <alignment vertical="center"/>
    </xf>
    <xf numFmtId="5" fontId="110"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5" fontId="110" fillId="0" borderId="0">
      <alignment vertical="center"/>
    </xf>
    <xf numFmtId="5" fontId="110" fillId="0" borderId="0">
      <alignment vertical="center"/>
    </xf>
    <xf numFmtId="5" fontId="110" fillId="0" borderId="0">
      <alignment vertical="center"/>
    </xf>
    <xf numFmtId="5" fontId="110" fillId="0" borderId="0">
      <alignment vertical="center"/>
    </xf>
    <xf numFmtId="0" fontId="6" fillId="0" borderId="0"/>
    <xf numFmtId="167" fontId="11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17" fillId="0" borderId="0"/>
    <xf numFmtId="0" fontId="17" fillId="0" borderId="0"/>
    <xf numFmtId="0" fontId="17" fillId="0" borderId="0"/>
    <xf numFmtId="0" fontId="17" fillId="0" borderId="0"/>
    <xf numFmtId="167" fontId="110" fillId="0" borderId="0">
      <alignment vertical="center"/>
    </xf>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187" fontId="110" fillId="0" borderId="0">
      <alignment vertical="center"/>
    </xf>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9" fontId="10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14" applyNumberFormat="0" applyFill="0" applyProtection="0">
      <alignment horizontal="right"/>
    </xf>
    <xf numFmtId="0" fontId="17" fillId="0" borderId="14" applyNumberFormat="0" applyFill="0" applyProtection="0">
      <alignment horizontal="right"/>
    </xf>
    <xf numFmtId="0" fontId="17" fillId="0" borderId="14" applyNumberFormat="0" applyFill="0" applyProtection="0">
      <alignment horizontal="right"/>
    </xf>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5"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2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9" borderId="0" applyNumberFormat="0" applyBorder="0" applyAlignment="0" applyProtection="0"/>
    <xf numFmtId="0" fontId="5" fillId="51"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8"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9"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9" borderId="0" applyNumberFormat="0" applyBorder="0" applyAlignment="0" applyProtection="0"/>
    <xf numFmtId="0" fontId="34" fillId="17" borderId="0" applyNumberFormat="0" applyBorder="0" applyAlignment="0" applyProtection="0"/>
    <xf numFmtId="0" fontId="36" fillId="18" borderId="0" applyNumberFormat="0" applyBorder="0" applyAlignment="0" applyProtection="0"/>
    <xf numFmtId="0" fontId="36" fillId="12"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2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12"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15"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55"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5"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17"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5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3"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7" fillId="9" borderId="0" applyNumberFormat="0" applyBorder="0" applyAlignment="0" applyProtection="0"/>
    <xf numFmtId="0" fontId="37" fillId="11"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0" fontId="105" fillId="57"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165" fontId="34"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182" fontId="17" fillId="0" borderId="0" applyFont="0" applyFill="0" applyBorder="0" applyAlignment="0" applyProtection="0"/>
    <xf numFmtId="165" fontId="17"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4"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9" fontId="17" fillId="0" borderId="0" applyFont="0" applyFill="0" applyBorder="0" applyAlignment="0" applyProtection="0"/>
    <xf numFmtId="185"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10" borderId="0" applyNumberFormat="0" applyBorder="0" applyAlignment="0" applyProtection="0"/>
    <xf numFmtId="0" fontId="101" fillId="48" borderId="0" applyNumberFormat="0" applyBorder="0" applyAlignment="0" applyProtection="0"/>
    <xf numFmtId="0" fontId="41" fillId="10" borderId="0" applyNumberFormat="0" applyBorder="0" applyAlignment="0" applyProtection="0"/>
    <xf numFmtId="0" fontId="41" fillId="12"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106" fillId="0" borderId="30"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107" fillId="0" borderId="31"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108" fillId="0" borderId="32"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10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13" fillId="0" borderId="0" applyNumberFormat="0" applyFill="0" applyBorder="0" applyAlignment="0" applyProtection="0"/>
    <xf numFmtId="0" fontId="45" fillId="13" borderId="6" applyNumberFormat="0" applyAlignment="0" applyProtection="0"/>
    <xf numFmtId="0" fontId="102" fillId="50" borderId="23" applyNumberFormat="0" applyAlignment="0" applyProtection="0"/>
    <xf numFmtId="0" fontId="45" fillId="13" borderId="6" applyNumberFormat="0" applyAlignment="0" applyProtection="0"/>
    <xf numFmtId="0" fontId="45" fillId="28"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6" fillId="0" borderId="11" applyNumberFormat="0" applyFill="0" applyAlignment="0" applyProtection="0"/>
    <xf numFmtId="0" fontId="54" fillId="0" borderId="33"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109" fillId="28" borderId="0" applyNumberFormat="0" applyBorder="0" applyAlignment="0" applyProtection="0"/>
    <xf numFmtId="0" fontId="114" fillId="49" borderId="0" applyNumberFormat="0" applyBorder="0" applyAlignment="0" applyProtection="0"/>
    <xf numFmtId="0" fontId="78" fillId="49"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5"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17" fillId="0" borderId="0" applyNumberFormat="0" applyFont="0" applyFill="0" applyBorder="0" applyAlignment="0" applyProtection="0"/>
    <xf numFmtId="0" fontId="17"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92" fillId="0" borderId="0"/>
    <xf numFmtId="0" fontId="92" fillId="0" borderId="0"/>
    <xf numFmtId="0" fontId="103" fillId="0" borderId="0"/>
    <xf numFmtId="0" fontId="92" fillId="0" borderId="0"/>
    <xf numFmtId="0" fontId="103" fillId="0" borderId="0"/>
    <xf numFmtId="0" fontId="92" fillId="0" borderId="0"/>
    <xf numFmtId="0" fontId="92" fillId="0" borderId="0"/>
    <xf numFmtId="0" fontId="92" fillId="0" borderId="0"/>
    <xf numFmtId="0" fontId="92" fillId="0" borderId="0"/>
    <xf numFmtId="0" fontId="92" fillId="0" borderId="0"/>
    <xf numFmtId="0" fontId="17" fillId="0" borderId="0"/>
    <xf numFmtId="0" fontId="5"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2" fillId="0" borderId="0"/>
    <xf numFmtId="0" fontId="1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5" fillId="0" borderId="0"/>
    <xf numFmtId="0" fontId="17" fillId="0" borderId="0"/>
    <xf numFmtId="0" fontId="5" fillId="0" borderId="0"/>
    <xf numFmtId="0" fontId="17" fillId="0" borderId="0"/>
    <xf numFmtId="0" fontId="5" fillId="0" borderId="0"/>
    <xf numFmtId="0" fontId="34" fillId="0" borderId="0"/>
    <xf numFmtId="0" fontId="17" fillId="0" borderId="0"/>
    <xf numFmtId="0" fontId="17"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applyNumberFormat="0" applyFont="0" applyFill="0" applyBorder="0" applyAlignment="0" applyProtection="0"/>
    <xf numFmtId="0" fontId="17" fillId="0" borderId="0"/>
    <xf numFmtId="0" fontId="17" fillId="0" borderId="0" applyNumberFormat="0" applyFont="0" applyFill="0" applyBorder="0" applyAlignment="0" applyProtection="0"/>
    <xf numFmtId="0" fontId="17" fillId="0" borderId="0"/>
    <xf numFmtId="0" fontId="5" fillId="0" borderId="0"/>
    <xf numFmtId="0" fontId="5" fillId="0" borderId="0"/>
    <xf numFmtId="0" fontId="17" fillId="0" borderId="0"/>
    <xf numFmtId="0" fontId="5" fillId="0" borderId="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57"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12" fillId="0" borderId="0" applyFont="0" applyFill="0" applyBorder="0" applyAlignment="0" applyProtection="0"/>
  </cellStyleXfs>
  <cellXfs count="372">
    <xf numFmtId="0" fontId="0" fillId="0" borderId="0" xfId="0"/>
    <xf numFmtId="0" fontId="22" fillId="2" borderId="2" xfId="0" applyFont="1" applyFill="1" applyBorder="1" applyAlignment="1">
      <alignment vertical="center"/>
    </xf>
    <xf numFmtId="0" fontId="27" fillId="4" borderId="0" xfId="0" applyFont="1" applyFill="1" applyBorder="1" applyAlignment="1">
      <alignment vertical="center"/>
    </xf>
    <xf numFmtId="0" fontId="27" fillId="5" borderId="0" xfId="0" applyFont="1" applyFill="1" applyBorder="1" applyAlignment="1">
      <alignment horizontal="center" vertical="center" wrapText="1"/>
    </xf>
    <xf numFmtId="0" fontId="0" fillId="0" borderId="0" xfId="0" applyFont="1" applyAlignment="1">
      <alignment vertical="center"/>
    </xf>
    <xf numFmtId="0" fontId="28" fillId="0" borderId="0" xfId="0" applyFont="1" applyAlignment="1">
      <alignment vertical="center"/>
    </xf>
    <xf numFmtId="0" fontId="28"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8" fillId="0" borderId="5" xfId="0" applyFont="1" applyBorder="1" applyAlignment="1">
      <alignment vertical="center"/>
    </xf>
    <xf numFmtId="0" fontId="28"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6" fillId="0" borderId="0" xfId="4"/>
    <xf numFmtId="0" fontId="20" fillId="2" borderId="1" xfId="4" applyFont="1" applyFill="1" applyBorder="1" applyAlignment="1">
      <alignment horizontal="center" vertical="center" wrapText="1"/>
    </xf>
    <xf numFmtId="0" fontId="30" fillId="0" borderId="0" xfId="0" applyFont="1" applyAlignment="1">
      <alignment vertical="center"/>
    </xf>
    <xf numFmtId="0" fontId="24"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9" fillId="0" borderId="0" xfId="0" applyFont="1" applyFill="1" applyAlignment="1">
      <alignment vertical="center"/>
    </xf>
    <xf numFmtId="0" fontId="25" fillId="3" borderId="4" xfId="1" applyFont="1" applyFill="1" applyBorder="1" applyAlignment="1">
      <alignment horizontal="left" vertical="center" wrapText="1"/>
    </xf>
    <xf numFmtId="0" fontId="25" fillId="3" borderId="4" xfId="1" applyFont="1" applyFill="1" applyBorder="1" applyAlignment="1">
      <alignment horizontal="center" vertical="center" wrapText="1"/>
    </xf>
    <xf numFmtId="0" fontId="0" fillId="0" borderId="0" xfId="0" applyFill="1" applyAlignment="1">
      <alignment vertical="center"/>
    </xf>
    <xf numFmtId="0" fontId="20" fillId="0" borderId="0" xfId="0" applyFont="1" applyFill="1" applyAlignment="1">
      <alignment vertical="center"/>
    </xf>
    <xf numFmtId="1" fontId="20" fillId="0" borderId="0" xfId="4" applyNumberFormat="1" applyFont="1" applyFill="1" applyBorder="1" applyAlignment="1">
      <alignment horizontal="center" vertical="center"/>
    </xf>
    <xf numFmtId="2" fontId="20"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0" fillId="0" borderId="0" xfId="4" applyFont="1" applyFill="1" applyAlignment="1">
      <alignment vertical="center"/>
    </xf>
    <xf numFmtId="0" fontId="22" fillId="0" borderId="0" xfId="0" applyFont="1" applyFill="1" applyAlignment="1">
      <alignment vertical="center"/>
    </xf>
    <xf numFmtId="166" fontId="20" fillId="0" borderId="0" xfId="4" applyNumberFormat="1" applyFont="1" applyFill="1" applyBorder="1" applyAlignment="1">
      <alignment horizontal="center" vertical="center"/>
    </xf>
    <xf numFmtId="9" fontId="20" fillId="0" borderId="0" xfId="3" applyFont="1" applyFill="1" applyBorder="1" applyAlignment="1">
      <alignment horizontal="center" vertical="center"/>
    </xf>
    <xf numFmtId="0" fontId="20" fillId="0" borderId="0" xfId="5"/>
    <xf numFmtId="0" fontId="22" fillId="0" borderId="0" xfId="5" applyFont="1" applyAlignment="1">
      <alignment vertical="center"/>
    </xf>
    <xf numFmtId="0" fontId="20" fillId="0" borderId="0" xfId="5" applyFill="1"/>
    <xf numFmtId="0" fontId="0" fillId="0" borderId="5" xfId="0" applyBorder="1" applyAlignment="1">
      <alignment vertical="center"/>
    </xf>
    <xf numFmtId="0" fontId="0" fillId="0" borderId="5" xfId="0" applyFill="1" applyBorder="1" applyAlignment="1">
      <alignment vertical="center"/>
    </xf>
    <xf numFmtId="0" fontId="20"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0" fillId="0" borderId="0" xfId="4" applyFont="1" applyFill="1" applyBorder="1"/>
    <xf numFmtId="0" fontId="17" fillId="0" borderId="0" xfId="0" applyFont="1" applyFill="1" applyAlignment="1">
      <alignment vertical="center"/>
    </xf>
    <xf numFmtId="0" fontId="17" fillId="0" borderId="0" xfId="0" applyFont="1" applyAlignment="1">
      <alignment vertical="center"/>
    </xf>
    <xf numFmtId="0" fontId="0" fillId="0" borderId="0" xfId="0" applyFont="1" applyBorder="1" applyAlignment="1">
      <alignment horizontal="center" vertical="center" wrapText="1"/>
    </xf>
    <xf numFmtId="0" fontId="27"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7"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0"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1" fontId="20" fillId="32" borderId="0" xfId="4" applyNumberFormat="1" applyFont="1" applyFill="1" applyBorder="1" applyAlignment="1">
      <alignment horizontal="center" vertical="center"/>
    </xf>
    <xf numFmtId="0" fontId="0" fillId="32" borderId="0" xfId="0" applyFill="1" applyAlignment="1">
      <alignment horizontal="right" vertical="center"/>
    </xf>
    <xf numFmtId="0" fontId="17" fillId="32" borderId="0" xfId="0" applyFont="1" applyFill="1" applyAlignment="1">
      <alignment vertical="center"/>
    </xf>
    <xf numFmtId="0" fontId="20"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7" fillId="0" borderId="5" xfId="0" applyFont="1" applyFill="1" applyBorder="1" applyAlignment="1">
      <alignment vertical="center"/>
    </xf>
    <xf numFmtId="1" fontId="0" fillId="0" borderId="5" xfId="0" applyNumberFormat="1" applyFill="1" applyBorder="1" applyAlignment="1">
      <alignment horizontal="center" vertical="center"/>
    </xf>
    <xf numFmtId="0" fontId="20" fillId="0" borderId="1" xfId="0" applyFont="1" applyFill="1" applyBorder="1" applyAlignment="1">
      <alignment vertical="center"/>
    </xf>
    <xf numFmtId="0" fontId="0" fillId="0" borderId="1" xfId="0" applyFill="1" applyBorder="1" applyAlignment="1">
      <alignment vertical="center"/>
    </xf>
    <xf numFmtId="0" fontId="0" fillId="32" borderId="5" xfId="0" applyFill="1" applyBorder="1" applyAlignment="1">
      <alignment vertical="center"/>
    </xf>
    <xf numFmtId="0" fontId="20" fillId="32" borderId="5" xfId="0" applyFont="1" applyFill="1" applyBorder="1" applyAlignment="1">
      <alignment vertical="center"/>
    </xf>
    <xf numFmtId="0" fontId="0" fillId="32" borderId="5" xfId="0" applyFill="1" applyBorder="1" applyAlignment="1">
      <alignment horizontal="center" vertical="center"/>
    </xf>
    <xf numFmtId="0" fontId="17" fillId="33" borderId="1" xfId="4" applyFont="1" applyFill="1" applyBorder="1" applyAlignment="1">
      <alignment horizontal="center" vertical="center" wrapText="1"/>
    </xf>
    <xf numFmtId="0" fontId="28" fillId="0" borderId="0" xfId="0" applyFont="1" applyBorder="1" applyAlignment="1">
      <alignment vertical="center"/>
    </xf>
    <xf numFmtId="0" fontId="28"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7"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32" borderId="0" xfId="0" applyFill="1" applyBorder="1" applyAlignment="1">
      <alignment vertical="center"/>
    </xf>
    <xf numFmtId="0" fontId="20"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7"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7" fillId="32" borderId="5" xfId="0" applyFont="1" applyFill="1" applyBorder="1" applyAlignment="1">
      <alignment vertical="center"/>
    </xf>
    <xf numFmtId="1" fontId="20" fillId="32" borderId="5" xfId="4" applyNumberFormat="1" applyFont="1" applyFill="1" applyBorder="1" applyAlignment="1">
      <alignment horizontal="center" vertical="center"/>
    </xf>
    <xf numFmtId="1" fontId="0" fillId="32" borderId="5" xfId="0" applyNumberFormat="1" applyFill="1" applyBorder="1" applyAlignment="1">
      <alignment horizontal="center" vertical="center"/>
    </xf>
    <xf numFmtId="166" fontId="0" fillId="32" borderId="5" xfId="0" applyNumberFormat="1"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166" fontId="0" fillId="0" borderId="0" xfId="0" applyNumberFormat="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28"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28" fillId="0" borderId="2" xfId="0" applyFont="1" applyBorder="1" applyAlignment="1">
      <alignment vertical="center"/>
    </xf>
    <xf numFmtId="0" fontId="0" fillId="0" borderId="5" xfId="0" applyBorder="1"/>
    <xf numFmtId="2" fontId="0" fillId="0" borderId="0" xfId="0" applyNumberFormat="1" applyAlignment="1">
      <alignment vertical="center"/>
    </xf>
    <xf numFmtId="2" fontId="57" fillId="34" borderId="0" xfId="263" applyNumberFormat="1" applyAlignment="1">
      <alignment vertical="center"/>
    </xf>
    <xf numFmtId="0" fontId="51" fillId="0" borderId="0" xfId="0" quotePrefix="1" applyFont="1" applyFill="1" applyAlignment="1">
      <alignment horizontal="left"/>
    </xf>
    <xf numFmtId="0" fontId="58" fillId="0" borderId="0" xfId="0" applyFont="1" applyFill="1"/>
    <xf numFmtId="0" fontId="19" fillId="0" borderId="0" xfId="0" applyFont="1" applyFill="1"/>
    <xf numFmtId="0" fontId="59" fillId="0" borderId="0" xfId="0" applyFont="1"/>
    <xf numFmtId="0" fontId="22" fillId="2" borderId="2" xfId="0" applyFont="1" applyFill="1" applyBorder="1" applyAlignment="1">
      <alignment vertical="center" wrapText="1"/>
    </xf>
    <xf numFmtId="0" fontId="57" fillId="34" borderId="2" xfId="263" applyBorder="1" applyAlignment="1">
      <alignment vertical="center" wrapText="1"/>
    </xf>
    <xf numFmtId="0" fontId="57" fillId="34" borderId="4" xfId="263" applyBorder="1" applyAlignment="1">
      <alignment horizontal="left" vertical="center" wrapText="1"/>
    </xf>
    <xf numFmtId="0" fontId="17"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7" fillId="34" borderId="0" xfId="263" applyAlignment="1">
      <alignment horizontal="center" vertical="center"/>
    </xf>
    <xf numFmtId="1" fontId="17" fillId="0" borderId="0" xfId="4" applyNumberFormat="1" applyFont="1" applyFill="1" applyBorder="1" applyAlignment="1">
      <alignment horizontal="center" vertical="center"/>
    </xf>
    <xf numFmtId="2" fontId="57" fillId="34" borderId="0" xfId="263" applyNumberFormat="1"/>
    <xf numFmtId="0" fontId="0" fillId="0" borderId="0" xfId="0" applyFill="1" applyAlignment="1">
      <alignment horizontal="left" vertical="center"/>
    </xf>
    <xf numFmtId="2" fontId="57"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7" fillId="34" borderId="5" xfId="263" applyBorder="1" applyAlignment="1">
      <alignment horizontal="center" vertical="center"/>
    </xf>
    <xf numFmtId="1" fontId="17" fillId="0" borderId="5" xfId="4" applyNumberFormat="1" applyFont="1" applyFill="1" applyBorder="1" applyAlignment="1">
      <alignment horizontal="center" vertical="center"/>
    </xf>
    <xf numFmtId="2" fontId="57" fillId="34" borderId="5" xfId="263" applyNumberFormat="1" applyBorder="1" applyAlignment="1">
      <alignment vertical="center"/>
    </xf>
    <xf numFmtId="2" fontId="57" fillId="34" borderId="5" xfId="263" applyNumberFormat="1" applyBorder="1"/>
    <xf numFmtId="0" fontId="17" fillId="0" borderId="0" xfId="0" applyFont="1"/>
    <xf numFmtId="0" fontId="17"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0" fontId="20" fillId="0" borderId="2" xfId="0" applyFont="1" applyFill="1" applyBorder="1" applyAlignment="1">
      <alignment vertical="center"/>
    </xf>
    <xf numFmtId="1" fontId="20" fillId="0" borderId="2" xfId="4" applyNumberFormat="1" applyFont="1" applyFill="1" applyBorder="1" applyAlignment="1">
      <alignment horizontal="center"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166" fontId="0" fillId="0" borderId="2" xfId="0" applyNumberFormat="1" applyFill="1" applyBorder="1" applyAlignment="1">
      <alignment horizontal="center" vertical="center"/>
    </xf>
    <xf numFmtId="0" fontId="0" fillId="0" borderId="2" xfId="0" applyFill="1" applyBorder="1" applyAlignment="1">
      <alignment horizontal="center"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2" fillId="2" borderId="2" xfId="0" applyFont="1" applyFill="1" applyBorder="1" applyAlignment="1">
      <alignment horizontal="center" vertical="center" wrapText="1"/>
    </xf>
    <xf numFmtId="0" fontId="27" fillId="6" borderId="0" xfId="0" applyFont="1" applyFill="1" applyBorder="1" applyAlignment="1">
      <alignment horizontal="left" vertical="center"/>
    </xf>
    <xf numFmtId="0" fontId="28"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1" fillId="0" borderId="0" xfId="1" applyFont="1" applyFill="1" applyBorder="1" applyAlignment="1">
      <alignment horizontal="left" vertical="center" wrapText="1"/>
    </xf>
    <xf numFmtId="0" fontId="17" fillId="32" borderId="0" xfId="0" applyFont="1" applyFill="1" applyAlignment="1">
      <alignment horizontal="center" vertical="center"/>
    </xf>
    <xf numFmtId="2" fontId="17" fillId="32" borderId="0" xfId="0" applyNumberFormat="1" applyFont="1" applyFill="1" applyAlignment="1">
      <alignment horizontal="center" vertical="center"/>
    </xf>
    <xf numFmtId="1" fontId="17" fillId="32" borderId="0" xfId="0" applyNumberFormat="1" applyFont="1" applyFill="1" applyAlignment="1">
      <alignment horizontal="center" vertical="center"/>
    </xf>
    <xf numFmtId="1" fontId="20" fillId="0" borderId="1" xfId="4" applyNumberFormat="1" applyFont="1" applyFill="1" applyBorder="1" applyAlignment="1">
      <alignment horizontal="center" vertical="center"/>
    </xf>
    <xf numFmtId="1"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55" fillId="0" borderId="16" xfId="265" applyFont="1" applyBorder="1"/>
    <xf numFmtId="0" fontId="27" fillId="4" borderId="0" xfId="0" applyFont="1" applyFill="1" applyBorder="1" applyAlignment="1">
      <alignment horizontal="center" vertical="center"/>
    </xf>
    <xf numFmtId="0" fontId="27" fillId="6" borderId="0" xfId="0" applyFont="1" applyFill="1" applyBorder="1" applyAlignment="1">
      <alignment horizontal="center" vertical="center"/>
    </xf>
    <xf numFmtId="0" fontId="31" fillId="0" borderId="16" xfId="266" applyFont="1" applyBorder="1"/>
    <xf numFmtId="0" fontId="14" fillId="0" borderId="16" xfId="266" applyBorder="1"/>
    <xf numFmtId="0" fontId="14" fillId="0" borderId="16" xfId="266" applyFont="1" applyBorder="1"/>
    <xf numFmtId="0" fontId="32" fillId="0" borderId="16" xfId="266" applyFont="1" applyBorder="1"/>
    <xf numFmtId="0" fontId="14" fillId="7" borderId="16" xfId="266" applyFill="1" applyBorder="1"/>
    <xf numFmtId="0" fontId="29" fillId="0" borderId="16" xfId="266" applyFont="1" applyBorder="1"/>
    <xf numFmtId="0" fontId="33" fillId="0" borderId="16" xfId="266" applyFont="1" applyFill="1" applyBorder="1"/>
    <xf numFmtId="0" fontId="29" fillId="0" borderId="16" xfId="266" applyFont="1" applyFill="1" applyBorder="1"/>
    <xf numFmtId="0" fontId="0" fillId="0" borderId="16" xfId="266" applyFont="1" applyFill="1" applyBorder="1" applyAlignment="1">
      <alignment horizontal="center"/>
    </xf>
    <xf numFmtId="0" fontId="28" fillId="0" borderId="16" xfId="266" applyFont="1" applyBorder="1"/>
    <xf numFmtId="0" fontId="17" fillId="0" borderId="16" xfId="266" applyFont="1" applyBorder="1"/>
    <xf numFmtId="0" fontId="65"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7" fillId="32" borderId="0" xfId="0" applyFont="1" applyFill="1" applyBorder="1" applyAlignment="1">
      <alignment horizontal="center" vertical="center"/>
    </xf>
    <xf numFmtId="2" fontId="17" fillId="32" borderId="0" xfId="0" applyNumberFormat="1" applyFont="1" applyFill="1" applyBorder="1" applyAlignment="1">
      <alignment horizontal="center" vertical="center"/>
    </xf>
    <xf numFmtId="1" fontId="17" fillId="32" borderId="0" xfId="0" applyNumberFormat="1" applyFont="1" applyFill="1" applyBorder="1" applyAlignment="1">
      <alignment horizontal="center" vertical="center"/>
    </xf>
    <xf numFmtId="0" fontId="62"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2" fillId="32" borderId="5" xfId="47" applyFont="1" applyFill="1" applyBorder="1" applyAlignment="1">
      <alignment vertical="center"/>
    </xf>
    <xf numFmtId="0" fontId="17" fillId="32" borderId="5" xfId="0" applyFont="1" applyFill="1" applyBorder="1" applyAlignment="1">
      <alignment horizontal="center" vertical="center"/>
    </xf>
    <xf numFmtId="1" fontId="17" fillId="32" borderId="5" xfId="0" applyNumberFormat="1" applyFont="1" applyFill="1" applyBorder="1" applyAlignment="1">
      <alignment horizontal="center" vertical="center"/>
    </xf>
    <xf numFmtId="0" fontId="27"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7" fillId="32" borderId="0" xfId="4" applyNumberFormat="1" applyFont="1" applyFill="1" applyBorder="1" applyAlignment="1">
      <alignment horizontal="center" vertical="center"/>
    </xf>
    <xf numFmtId="178" fontId="20" fillId="0" borderId="0" xfId="4" applyNumberFormat="1" applyFont="1" applyFill="1" applyBorder="1" applyAlignment="1">
      <alignment horizontal="right" vertical="center"/>
    </xf>
    <xf numFmtId="178" fontId="20"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0"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3" fillId="0" borderId="0" xfId="285"/>
    <xf numFmtId="0" fontId="13" fillId="2" borderId="0" xfId="285" applyFill="1"/>
    <xf numFmtId="0" fontId="17" fillId="2" borderId="4" xfId="285" applyFont="1" applyFill="1" applyBorder="1" applyAlignment="1">
      <alignment horizontal="center" vertical="center" wrapText="1"/>
    </xf>
    <xf numFmtId="0" fontId="13" fillId="46" borderId="0" xfId="285" applyFill="1"/>
    <xf numFmtId="0" fontId="19" fillId="0" borderId="0" xfId="285" applyFont="1" applyFill="1"/>
    <xf numFmtId="0" fontId="17" fillId="2" borderId="2" xfId="285" applyFont="1" applyFill="1" applyBorder="1" applyAlignment="1">
      <alignment vertical="center" wrapText="1"/>
    </xf>
    <xf numFmtId="0" fontId="17" fillId="2" borderId="2" xfId="285" applyFont="1" applyFill="1" applyBorder="1" applyAlignment="1">
      <alignment horizontal="center" vertical="center" wrapText="1"/>
    </xf>
    <xf numFmtId="0" fontId="17" fillId="2" borderId="4" xfId="285" applyFont="1" applyFill="1" applyBorder="1" applyAlignment="1">
      <alignment vertical="center" wrapText="1"/>
    </xf>
    <xf numFmtId="178" fontId="13" fillId="46" borderId="0" xfId="285" applyNumberFormat="1" applyFill="1"/>
    <xf numFmtId="0" fontId="0" fillId="0" borderId="0" xfId="0"/>
    <xf numFmtId="1" fontId="0" fillId="0" borderId="0" xfId="0" applyNumberFormat="1"/>
    <xf numFmtId="0" fontId="17" fillId="2" borderId="2" xfId="327" applyFont="1" applyFill="1" applyBorder="1" applyAlignment="1">
      <alignment horizontal="center" vertical="center" wrapText="1"/>
    </xf>
    <xf numFmtId="0" fontId="17" fillId="2" borderId="4" xfId="327" applyFont="1" applyFill="1" applyBorder="1" applyAlignment="1">
      <alignment horizontal="center" wrapText="1"/>
    </xf>
    <xf numFmtId="0" fontId="17" fillId="2" borderId="4" xfId="0" applyFont="1" applyFill="1" applyBorder="1" applyAlignment="1">
      <alignment horizontal="center" vertical="center" wrapText="1"/>
    </xf>
    <xf numFmtId="0" fontId="17" fillId="2" borderId="0" xfId="0" applyFont="1" applyFill="1" applyBorder="1"/>
    <xf numFmtId="0" fontId="17" fillId="45" borderId="0" xfId="0" applyFont="1" applyFill="1" applyBorder="1"/>
    <xf numFmtId="0" fontId="17" fillId="2" borderId="1" xfId="0" applyFont="1" applyFill="1" applyBorder="1" applyAlignment="1">
      <alignment horizontal="center" vertical="center" wrapText="1"/>
    </xf>
    <xf numFmtId="2" fontId="17" fillId="47" borderId="0" xfId="0" applyNumberFormat="1" applyFont="1" applyFill="1" applyBorder="1" applyAlignment="1">
      <alignment horizontal="right"/>
    </xf>
    <xf numFmtId="1" fontId="17" fillId="47" borderId="0" xfId="0" applyNumberFormat="1" applyFont="1" applyFill="1" applyBorder="1" applyAlignment="1">
      <alignment horizontal="right"/>
    </xf>
    <xf numFmtId="0" fontId="17" fillId="2" borderId="0" xfId="327" applyFont="1" applyFill="1" applyBorder="1" applyAlignment="1">
      <alignment horizontal="center" vertical="center" wrapText="1"/>
    </xf>
    <xf numFmtId="178" fontId="17" fillId="47" borderId="0" xfId="0" applyNumberFormat="1" applyFont="1" applyFill="1" applyBorder="1" applyAlignment="1">
      <alignment horizontal="right"/>
    </xf>
    <xf numFmtId="0" fontId="0" fillId="0" borderId="0" xfId="0"/>
    <xf numFmtId="0" fontId="10" fillId="45" borderId="0" xfId="285" applyFont="1" applyFill="1" applyAlignment="1">
      <alignment vertical="top" wrapText="1"/>
    </xf>
    <xf numFmtId="0" fontId="9" fillId="2" borderId="0" xfId="285" applyFont="1" applyFill="1" applyAlignment="1">
      <alignment vertical="top"/>
    </xf>
    <xf numFmtId="0" fontId="8" fillId="2" borderId="0" xfId="285" applyFont="1" applyFill="1" applyAlignment="1">
      <alignment vertical="top"/>
    </xf>
    <xf numFmtId="188" fontId="19" fillId="0" borderId="0" xfId="0" applyNumberFormat="1" applyFont="1" applyAlignment="1">
      <alignment vertical="center"/>
    </xf>
    <xf numFmtId="188" fontId="0" fillId="0" borderId="0" xfId="0" applyNumberFormat="1" applyAlignment="1">
      <alignment vertical="center"/>
    </xf>
    <xf numFmtId="188" fontId="22" fillId="2" borderId="1" xfId="0" applyNumberFormat="1" applyFont="1" applyFill="1" applyBorder="1" applyAlignment="1">
      <alignment vertical="center"/>
    </xf>
    <xf numFmtId="188" fontId="25" fillId="3" borderId="3" xfId="1" applyNumberFormat="1" applyFont="1" applyFill="1" applyBorder="1" applyAlignment="1">
      <alignment horizontal="left" vertical="center" wrapText="1"/>
    </xf>
    <xf numFmtId="188" fontId="17" fillId="0" borderId="0" xfId="4" applyNumberFormat="1" applyFont="1" applyFill="1" applyAlignment="1">
      <alignment vertical="center"/>
    </xf>
    <xf numFmtId="188" fontId="17" fillId="0" borderId="0" xfId="0" applyNumberFormat="1" applyFont="1" applyFill="1" applyAlignment="1">
      <alignment vertical="center"/>
    </xf>
    <xf numFmtId="188" fontId="0" fillId="0" borderId="0" xfId="0" applyNumberFormat="1" applyFill="1" applyAlignment="1">
      <alignment vertical="center"/>
    </xf>
    <xf numFmtId="188" fontId="17" fillId="0" borderId="0" xfId="0" applyNumberFormat="1" applyFont="1" applyFill="1" applyBorder="1" applyAlignment="1">
      <alignment vertical="center"/>
    </xf>
    <xf numFmtId="188" fontId="61" fillId="0" borderId="0" xfId="1" applyNumberFormat="1" applyFont="1" applyFill="1" applyBorder="1" applyAlignment="1">
      <alignment horizontal="left" vertical="center" wrapText="1"/>
    </xf>
    <xf numFmtId="188" fontId="20" fillId="0" borderId="0" xfId="0" applyNumberFormat="1" applyFont="1" applyFill="1" applyAlignment="1">
      <alignment vertical="center"/>
    </xf>
    <xf numFmtId="188" fontId="20" fillId="0" borderId="0" xfId="4" applyNumberFormat="1" applyFont="1" applyFill="1" applyAlignment="1">
      <alignment vertical="center"/>
    </xf>
    <xf numFmtId="188" fontId="17" fillId="0" borderId="1" xfId="0" applyNumberFormat="1" applyFont="1" applyFill="1" applyBorder="1" applyAlignment="1">
      <alignment vertical="center"/>
    </xf>
    <xf numFmtId="188" fontId="0" fillId="0" borderId="1" xfId="0" applyNumberFormat="1" applyFill="1" applyBorder="1" applyAlignment="1">
      <alignment vertical="center"/>
    </xf>
    <xf numFmtId="188" fontId="0" fillId="0" borderId="1" xfId="0" applyNumberFormat="1" applyBorder="1" applyAlignment="1">
      <alignment vertical="center"/>
    </xf>
    <xf numFmtId="188" fontId="20" fillId="0" borderId="0" xfId="0" applyNumberFormat="1" applyFont="1" applyAlignment="1">
      <alignment vertical="center"/>
    </xf>
    <xf numFmtId="188" fontId="22" fillId="2" borderId="2" xfId="0" applyNumberFormat="1" applyFont="1" applyFill="1" applyBorder="1" applyAlignment="1">
      <alignment vertical="center"/>
    </xf>
    <xf numFmtId="188" fontId="22" fillId="2" borderId="2" xfId="0" applyNumberFormat="1" applyFont="1" applyFill="1" applyBorder="1" applyAlignment="1">
      <alignment horizontal="left" vertical="center"/>
    </xf>
    <xf numFmtId="188" fontId="25" fillId="3" borderId="4" xfId="1" applyNumberFormat="1" applyFont="1" applyFill="1" applyBorder="1" applyAlignment="1">
      <alignment horizontal="left" vertical="center" wrapText="1"/>
    </xf>
    <xf numFmtId="188" fontId="17" fillId="0" borderId="17" xfId="0" applyNumberFormat="1" applyFont="1" applyFill="1" applyBorder="1" applyAlignment="1">
      <alignment vertical="center"/>
    </xf>
    <xf numFmtId="188" fontId="20" fillId="0" borderId="17" xfId="0" applyNumberFormat="1" applyFont="1" applyFill="1" applyBorder="1" applyAlignment="1">
      <alignment vertical="center"/>
    </xf>
    <xf numFmtId="188" fontId="0" fillId="0" borderId="17" xfId="0" applyNumberFormat="1" applyFill="1" applyBorder="1" applyAlignment="1">
      <alignment vertical="center"/>
    </xf>
    <xf numFmtId="188" fontId="17" fillId="0" borderId="5" xfId="0" applyNumberFormat="1" applyFont="1" applyBorder="1" applyAlignment="1">
      <alignment vertical="center"/>
    </xf>
    <xf numFmtId="188" fontId="0" fillId="0" borderId="5" xfId="0" applyNumberFormat="1" applyBorder="1" applyAlignment="1">
      <alignment vertical="center"/>
    </xf>
    <xf numFmtId="188" fontId="22" fillId="0" borderId="0" xfId="0" applyNumberFormat="1" applyFont="1" applyFill="1" applyAlignment="1">
      <alignment vertical="center"/>
    </xf>
    <xf numFmtId="188" fontId="22" fillId="0" borderId="0" xfId="0" applyNumberFormat="1" applyFont="1" applyFill="1" applyBorder="1" applyAlignment="1">
      <alignment vertical="center"/>
    </xf>
    <xf numFmtId="188" fontId="0" fillId="0" borderId="0" xfId="0" applyNumberFormat="1" applyFill="1" applyBorder="1" applyAlignment="1">
      <alignment vertical="center"/>
    </xf>
    <xf numFmtId="188" fontId="20" fillId="0" borderId="0" xfId="0" applyNumberFormat="1" applyFont="1" applyFill="1" applyBorder="1" applyAlignment="1">
      <alignment vertical="center"/>
    </xf>
    <xf numFmtId="188" fontId="22" fillId="0" borderId="5" xfId="0" applyNumberFormat="1" applyFont="1" applyFill="1" applyBorder="1" applyAlignment="1">
      <alignment vertical="center"/>
    </xf>
    <xf numFmtId="188" fontId="17" fillId="0" borderId="5" xfId="0" applyNumberFormat="1" applyFont="1" applyFill="1" applyBorder="1" applyAlignment="1">
      <alignment vertical="center"/>
    </xf>
    <xf numFmtId="188" fontId="20" fillId="0" borderId="5" xfId="0" applyNumberFormat="1" applyFont="1" applyFill="1" applyBorder="1" applyAlignment="1">
      <alignment vertical="center"/>
    </xf>
    <xf numFmtId="188" fontId="0" fillId="0" borderId="5" xfId="0" applyNumberFormat="1" applyFill="1" applyBorder="1" applyAlignment="1">
      <alignment vertical="center"/>
    </xf>
    <xf numFmtId="188" fontId="20" fillId="0" borderId="0" xfId="4" applyNumberFormat="1" applyFont="1" applyFill="1" applyBorder="1" applyAlignment="1">
      <alignment vertical="center"/>
    </xf>
    <xf numFmtId="188" fontId="20" fillId="0" borderId="0" xfId="5" applyNumberFormat="1" applyFill="1" applyBorder="1"/>
    <xf numFmtId="188" fontId="20" fillId="0" borderId="5" xfId="5" applyNumberFormat="1" applyFill="1" applyBorder="1"/>
    <xf numFmtId="188" fontId="0" fillId="0" borderId="0" xfId="0" applyNumberFormat="1"/>
    <xf numFmtId="188" fontId="17" fillId="0" borderId="0" xfId="4" applyNumberFormat="1" applyFont="1" applyFill="1" applyBorder="1" applyAlignment="1">
      <alignment vertical="center"/>
    </xf>
    <xf numFmtId="188" fontId="17" fillId="0" borderId="5" xfId="4" applyNumberFormat="1" applyFont="1" applyFill="1" applyBorder="1" applyAlignment="1">
      <alignment vertical="center"/>
    </xf>
    <xf numFmtId="188" fontId="17" fillId="0" borderId="1" xfId="0" applyNumberFormat="1" applyFont="1" applyBorder="1" applyAlignment="1">
      <alignment vertical="center"/>
    </xf>
    <xf numFmtId="188" fontId="20" fillId="0" borderId="1" xfId="0" applyNumberFormat="1" applyFont="1" applyBorder="1" applyAlignment="1">
      <alignment vertical="center"/>
    </xf>
    <xf numFmtId="188" fontId="20" fillId="0" borderId="1" xfId="0" applyNumberFormat="1" applyFont="1" applyFill="1" applyBorder="1" applyAlignment="1">
      <alignment vertical="center"/>
    </xf>
    <xf numFmtId="188" fontId="20" fillId="0" borderId="0" xfId="4" applyNumberFormat="1" applyFont="1" applyFill="1" applyAlignment="1">
      <alignment vertical="center" wrapText="1"/>
    </xf>
    <xf numFmtId="188" fontId="0" fillId="0" borderId="0" xfId="0" applyNumberFormat="1" applyBorder="1" applyAlignment="1">
      <alignment vertical="center"/>
    </xf>
    <xf numFmtId="188" fontId="20" fillId="0" borderId="0" xfId="4" applyNumberFormat="1" applyFont="1" applyFill="1" applyBorder="1" applyAlignment="1">
      <alignment vertical="center" wrapText="1"/>
    </xf>
    <xf numFmtId="188" fontId="20" fillId="0" borderId="5" xfId="4" applyNumberFormat="1" applyFont="1" applyFill="1" applyBorder="1" applyAlignment="1">
      <alignment vertical="center" wrapText="1"/>
    </xf>
    <xf numFmtId="188" fontId="17" fillId="0" borderId="0" xfId="0" applyNumberFormat="1" applyFont="1" applyFill="1" applyAlignment="1">
      <alignment vertical="center" wrapText="1"/>
    </xf>
    <xf numFmtId="188" fontId="0" fillId="7" borderId="0" xfId="0" applyNumberFormat="1" applyFill="1" applyAlignment="1">
      <alignment vertical="center"/>
    </xf>
    <xf numFmtId="188" fontId="19" fillId="0" borderId="0" xfId="0" applyNumberFormat="1" applyFont="1" applyFill="1" applyAlignment="1">
      <alignment vertical="center"/>
    </xf>
    <xf numFmtId="188" fontId="17" fillId="0" borderId="0" xfId="0" applyNumberFormat="1" applyFont="1" applyAlignment="1">
      <alignment vertical="center"/>
    </xf>
    <xf numFmtId="188" fontId="19" fillId="0" borderId="0" xfId="0" applyNumberFormat="1" applyFont="1"/>
    <xf numFmtId="188" fontId="22" fillId="2" borderId="21" xfId="0" applyNumberFormat="1" applyFont="1" applyFill="1" applyBorder="1"/>
    <xf numFmtId="188" fontId="22" fillId="2" borderId="1" xfId="0" applyNumberFormat="1" applyFont="1" applyFill="1" applyBorder="1"/>
    <xf numFmtId="188" fontId="22" fillId="2" borderId="22" xfId="0" applyNumberFormat="1" applyFont="1" applyFill="1" applyBorder="1"/>
    <xf numFmtId="188" fontId="17" fillId="45" borderId="0" xfId="0" applyNumberFormat="1" applyFont="1" applyFill="1"/>
    <xf numFmtId="188" fontId="12" fillId="45" borderId="0" xfId="287" applyNumberFormat="1" applyFill="1"/>
    <xf numFmtId="188" fontId="8" fillId="45" borderId="0" xfId="287" applyNumberFormat="1" applyFont="1" applyFill="1"/>
    <xf numFmtId="188" fontId="0" fillId="45" borderId="0" xfId="0" applyNumberFormat="1" applyFill="1"/>
    <xf numFmtId="188" fontId="17" fillId="45" borderId="0" xfId="0" applyNumberFormat="1" applyFont="1" applyFill="1" applyBorder="1"/>
    <xf numFmtId="188" fontId="76" fillId="0" borderId="0" xfId="0" applyNumberFormat="1" applyFont="1"/>
    <xf numFmtId="188" fontId="22" fillId="2" borderId="4" xfId="0" applyNumberFormat="1" applyFont="1" applyFill="1" applyBorder="1"/>
    <xf numFmtId="188" fontId="22" fillId="2" borderId="4" xfId="0" applyNumberFormat="1" applyFont="1" applyFill="1" applyBorder="1" applyAlignment="1">
      <alignment horizontal="left"/>
    </xf>
    <xf numFmtId="188" fontId="19" fillId="2" borderId="0" xfId="0" applyNumberFormat="1" applyFont="1" applyFill="1" applyBorder="1"/>
    <xf numFmtId="188" fontId="17" fillId="2" borderId="0" xfId="0" applyNumberFormat="1" applyFont="1" applyFill="1" applyBorder="1"/>
    <xf numFmtId="0" fontId="4" fillId="2" borderId="0" xfId="285" applyFont="1" applyFill="1"/>
    <xf numFmtId="188" fontId="17" fillId="0" borderId="0" xfId="0" applyNumberFormat="1" applyFont="1" applyBorder="1" applyAlignment="1">
      <alignment vertical="center"/>
    </xf>
    <xf numFmtId="188" fontId="20" fillId="0" borderId="0" xfId="0" applyNumberFormat="1" applyFont="1" applyBorder="1" applyAlignment="1">
      <alignment vertical="center"/>
    </xf>
    <xf numFmtId="0" fontId="17"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7" fillId="0" borderId="5" xfId="0" applyFont="1" applyBorder="1" applyAlignment="1">
      <alignment horizontal="center" vertical="center" wrapText="1"/>
    </xf>
    <xf numFmtId="188" fontId="3" fillId="45" borderId="0" xfId="287" applyNumberFormat="1" applyFont="1" applyFill="1"/>
    <xf numFmtId="0" fontId="3" fillId="2" borderId="0" xfId="285" applyFont="1" applyFill="1"/>
    <xf numFmtId="0" fontId="28" fillId="0" borderId="0" xfId="0" applyFont="1" applyFill="1" applyAlignment="1">
      <alignment vertical="center" wrapText="1"/>
    </xf>
    <xf numFmtId="0" fontId="28" fillId="0" borderId="0" xfId="0" applyFont="1" applyFill="1" applyBorder="1" applyAlignment="1">
      <alignment vertical="center" wrapText="1"/>
    </xf>
    <xf numFmtId="0" fontId="28" fillId="0" borderId="5" xfId="0" applyFont="1" applyFill="1" applyBorder="1" applyAlignment="1">
      <alignment vertical="center" wrapText="1"/>
    </xf>
    <xf numFmtId="188" fontId="17" fillId="7" borderId="0" xfId="4" applyNumberFormat="1" applyFont="1" applyFill="1" applyAlignment="1">
      <alignment vertical="center"/>
    </xf>
    <xf numFmtId="188" fontId="2" fillId="2" borderId="0" xfId="285" applyNumberFormat="1" applyFont="1" applyFill="1" applyAlignment="1">
      <alignment vertical="top"/>
    </xf>
    <xf numFmtId="188" fontId="0" fillId="0" borderId="2" xfId="0" applyNumberFormat="1" applyBorder="1" applyAlignment="1">
      <alignment vertical="center"/>
    </xf>
    <xf numFmtId="188" fontId="17" fillId="32" borderId="0" xfId="0" applyNumberFormat="1" applyFont="1" applyFill="1" applyAlignment="1">
      <alignment vertical="center"/>
    </xf>
    <xf numFmtId="166" fontId="0" fillId="0" borderId="5" xfId="0" applyNumberFormat="1" applyBorder="1" applyAlignment="1">
      <alignment horizontal="center" vertical="center"/>
    </xf>
    <xf numFmtId="188" fontId="17" fillId="0" borderId="35" xfId="0" applyNumberFormat="1" applyFont="1" applyFill="1" applyBorder="1" applyAlignment="1">
      <alignment vertical="center"/>
    </xf>
    <xf numFmtId="188" fontId="17" fillId="0" borderId="0" xfId="0" applyNumberFormat="1" applyFont="1" applyFill="1" applyBorder="1" applyAlignment="1">
      <alignment vertical="center" wrapText="1"/>
    </xf>
    <xf numFmtId="188" fontId="0" fillId="7" borderId="0" xfId="0" applyNumberFormat="1" applyFill="1" applyBorder="1" applyAlignment="1">
      <alignment vertical="center"/>
    </xf>
    <xf numFmtId="188" fontId="17" fillId="0" borderId="5" xfId="0" applyNumberFormat="1" applyFont="1" applyFill="1" applyBorder="1" applyAlignment="1">
      <alignment vertical="center" wrapText="1"/>
    </xf>
    <xf numFmtId="188" fontId="0" fillId="7" borderId="5" xfId="0" applyNumberFormat="1" applyFill="1" applyBorder="1" applyAlignment="1">
      <alignment vertical="center"/>
    </xf>
    <xf numFmtId="188" fontId="22" fillId="7" borderId="0" xfId="0" applyNumberFormat="1" applyFont="1" applyFill="1" applyAlignment="1">
      <alignment vertical="center"/>
    </xf>
    <xf numFmtId="188" fontId="17" fillId="7" borderId="0" xfId="0" applyNumberFormat="1" applyFont="1" applyFill="1" applyAlignment="1">
      <alignment vertical="center"/>
    </xf>
    <xf numFmtId="188"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7"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7" fillId="7" borderId="0" xfId="4" applyNumberFormat="1" applyFont="1" applyFill="1" applyBorder="1" applyAlignment="1">
      <alignment horizontal="center" vertical="center"/>
    </xf>
    <xf numFmtId="2" fontId="57" fillId="7" borderId="0" xfId="263" applyNumberFormat="1" applyFill="1" applyBorder="1" applyAlignment="1">
      <alignment vertical="center"/>
    </xf>
    <xf numFmtId="2" fontId="57" fillId="7" borderId="0" xfId="263" applyNumberFormat="1" applyFill="1" applyBorder="1"/>
    <xf numFmtId="0" fontId="25" fillId="7" borderId="0" xfId="1" applyFont="1" applyFill="1" applyBorder="1" applyAlignment="1">
      <alignment horizontal="left" vertical="center" wrapText="1"/>
    </xf>
    <xf numFmtId="0" fontId="57" fillId="7" borderId="0" xfId="263" applyFill="1" applyBorder="1" applyAlignment="1">
      <alignment horizontal="left" vertical="center" wrapText="1"/>
    </xf>
    <xf numFmtId="0" fontId="25" fillId="7" borderId="0" xfId="1" applyFont="1" applyFill="1" applyBorder="1" applyAlignment="1">
      <alignment horizontal="center" vertical="center" wrapText="1"/>
    </xf>
    <xf numFmtId="0" fontId="27" fillId="4" borderId="0" xfId="0" applyFont="1" applyFill="1" applyBorder="1" applyAlignment="1">
      <alignment horizontal="center" vertical="center"/>
    </xf>
    <xf numFmtId="0" fontId="27"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18</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251460</xdr:colOff>
      <xdr:row>55</xdr:row>
      <xdr:rowOff>7620</xdr:rowOff>
    </xdr:from>
    <xdr:to>
      <xdr:col>19</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211231</xdr:colOff>
      <xdr:row>52</xdr:row>
      <xdr:rowOff>6128</xdr:rowOff>
    </xdr:from>
    <xdr:to>
      <xdr:col>19</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19</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20</xdr:col>
      <xdr:colOff>0</xdr:colOff>
      <xdr:row>55</xdr:row>
      <xdr:rowOff>179070</xdr:rowOff>
    </xdr:from>
    <xdr:to>
      <xdr:col>20</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zoomScale="90" zoomScaleNormal="90" workbookViewId="0">
      <selection activeCell="C13" sqref="C13"/>
    </sheetView>
  </sheetViews>
  <sheetFormatPr defaultColWidth="11.42578125" defaultRowHeight="12.75"/>
  <cols>
    <col min="1" max="1" width="16.28515625" style="19" customWidth="1"/>
    <col min="2" max="2" width="19.7109375" style="19" customWidth="1"/>
    <col min="3" max="3" width="40.85546875" style="19"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384" width="11.42578125" style="19"/>
  </cols>
  <sheetData>
    <row r="1" spans="1:13" ht="23.25">
      <c r="A1" s="22" t="s">
        <v>275</v>
      </c>
    </row>
    <row r="2" spans="1:13" ht="15.75">
      <c r="A2" s="23"/>
    </row>
    <row r="3" spans="1:13">
      <c r="C3" s="24"/>
      <c r="D3" s="26" t="s">
        <v>0</v>
      </c>
      <c r="F3" s="24"/>
      <c r="G3" s="24"/>
      <c r="H3" s="24"/>
    </row>
    <row r="4" spans="1:13">
      <c r="A4" s="1" t="s">
        <v>1</v>
      </c>
      <c r="B4" s="1" t="s">
        <v>3</v>
      </c>
      <c r="C4" s="1" t="s">
        <v>75</v>
      </c>
      <c r="D4" s="1" t="s">
        <v>4</v>
      </c>
      <c r="E4" s="21" t="s">
        <v>79</v>
      </c>
      <c r="F4" s="21" t="s">
        <v>78</v>
      </c>
      <c r="G4" s="21" t="s">
        <v>49</v>
      </c>
      <c r="H4" s="56" t="s">
        <v>114</v>
      </c>
      <c r="I4" s="21" t="s">
        <v>6</v>
      </c>
      <c r="J4" s="21" t="s">
        <v>37</v>
      </c>
      <c r="K4" s="21" t="s">
        <v>72</v>
      </c>
      <c r="L4" s="56" t="s">
        <v>117</v>
      </c>
      <c r="M4" s="56" t="s">
        <v>118</v>
      </c>
    </row>
    <row r="5" spans="1:13" ht="26.25" thickBot="1">
      <c r="A5" s="27" t="s">
        <v>42</v>
      </c>
      <c r="B5" s="27" t="s">
        <v>35</v>
      </c>
      <c r="C5" s="27" t="s">
        <v>85</v>
      </c>
      <c r="D5" s="27" t="s">
        <v>36</v>
      </c>
      <c r="E5" s="28" t="s">
        <v>81</v>
      </c>
      <c r="F5" s="28" t="s">
        <v>83</v>
      </c>
      <c r="G5" s="28"/>
      <c r="H5" s="28"/>
      <c r="I5" s="28" t="s">
        <v>115</v>
      </c>
      <c r="J5" s="28" t="s">
        <v>82</v>
      </c>
      <c r="K5" s="28"/>
      <c r="L5" s="28" t="s">
        <v>119</v>
      </c>
      <c r="M5" s="28" t="s">
        <v>120</v>
      </c>
    </row>
    <row r="6" spans="1:13">
      <c r="A6" s="94" t="str">
        <f>B17</f>
        <v>ESTCAESS00</v>
      </c>
      <c r="B6" s="94" t="str">
        <f>B26</f>
        <v>DUMDCAES00</v>
      </c>
      <c r="C6" s="94"/>
      <c r="D6" s="98" t="s">
        <v>74</v>
      </c>
      <c r="E6" s="96">
        <f>Input_DATA!G26</f>
        <v>20</v>
      </c>
      <c r="F6" s="112">
        <f>Input_DATA!R26/SUM(Input_DATA!P26:Q26)</f>
        <v>0.42</v>
      </c>
      <c r="G6" s="199"/>
      <c r="H6" s="199"/>
      <c r="I6" s="101">
        <f>Input_DATA!M26</f>
        <v>12.810386048733351</v>
      </c>
      <c r="J6" s="333"/>
      <c r="K6" s="219">
        <f>3.6/1000</f>
        <v>3.5999999999999999E-3</v>
      </c>
      <c r="L6" s="94"/>
      <c r="M6" s="99"/>
    </row>
    <row r="7" spans="1:13">
      <c r="A7" s="94"/>
      <c r="B7" s="94"/>
      <c r="C7" s="98" t="str">
        <f>"AUX_"&amp;A6</f>
        <v>AUX_ESTCAESS00</v>
      </c>
      <c r="D7" s="98"/>
      <c r="E7" s="96"/>
      <c r="F7" s="96"/>
      <c r="G7" s="96">
        <v>1</v>
      </c>
      <c r="H7" s="94"/>
      <c r="I7" s="96"/>
      <c r="J7" s="334"/>
      <c r="K7" s="96"/>
      <c r="L7" s="94"/>
      <c r="M7" s="99"/>
    </row>
    <row r="8" spans="1:13">
      <c r="A8" s="88" t="str">
        <f>B18</f>
        <v>P_ESTCAESS00</v>
      </c>
      <c r="B8" s="88" t="str">
        <f>ELC_BulkEES!B85</f>
        <v>DUMSTOR</v>
      </c>
      <c r="C8" s="88"/>
      <c r="D8" s="67" t="str">
        <f>B25</f>
        <v>AUX_ESTCAESS00</v>
      </c>
      <c r="E8" s="31">
        <f>E6</f>
        <v>20</v>
      </c>
      <c r="F8" s="67"/>
      <c r="G8" s="67"/>
      <c r="H8" s="67"/>
      <c r="I8" s="100">
        <f>Input_DATA!L26</f>
        <v>8.1166606004774522</v>
      </c>
      <c r="J8" s="48"/>
      <c r="K8" s="49">
        <v>31.54</v>
      </c>
      <c r="L8" s="48"/>
      <c r="M8" s="48"/>
    </row>
    <row r="9" spans="1:13">
      <c r="A9" s="98" t="str">
        <f>B19</f>
        <v>DUMDCAES00</v>
      </c>
      <c r="B9" s="98" t="s">
        <v>74</v>
      </c>
      <c r="C9" s="98"/>
      <c r="D9" s="98"/>
      <c r="E9" s="195"/>
      <c r="F9" s="195"/>
      <c r="G9" s="196">
        <f>Input_DATA!P26/(Input_DATA!$P$26+Input_DATA!$Q$26)</f>
        <v>0.36871508379888268</v>
      </c>
      <c r="H9" s="98"/>
      <c r="I9" s="195"/>
      <c r="J9" s="195"/>
      <c r="K9" s="195">
        <v>1</v>
      </c>
      <c r="L9" s="98"/>
      <c r="M9" s="197"/>
    </row>
    <row r="10" spans="1:13" ht="15">
      <c r="A10" s="198"/>
      <c r="B10" s="98" t="s">
        <v>76</v>
      </c>
      <c r="C10" s="98"/>
      <c r="D10" s="98"/>
      <c r="E10" s="195"/>
      <c r="F10" s="195"/>
      <c r="G10" s="196">
        <f>Input_DATA!Q26/(Input_DATA!$P$26+Input_DATA!$Q$26)</f>
        <v>0.63128491620111726</v>
      </c>
      <c r="H10" s="98"/>
      <c r="I10" s="195"/>
      <c r="J10" s="195"/>
      <c r="K10" s="195"/>
      <c r="L10" s="98"/>
      <c r="M10" s="197"/>
    </row>
    <row r="11" spans="1:13" ht="15">
      <c r="A11" s="203"/>
      <c r="B11" s="103"/>
      <c r="C11" s="103"/>
      <c r="D11" s="103" t="str">
        <f>B26</f>
        <v>DUMDCAES00</v>
      </c>
      <c r="E11" s="204"/>
      <c r="F11" s="204"/>
      <c r="G11" s="204"/>
      <c r="H11" s="205">
        <v>1</v>
      </c>
      <c r="I11" s="204"/>
      <c r="J11" s="204"/>
      <c r="K11" s="204"/>
      <c r="L11" s="103"/>
      <c r="M11" s="205"/>
    </row>
    <row r="12" spans="1:13">
      <c r="A12" s="29"/>
      <c r="B12" s="30"/>
      <c r="C12" s="30"/>
      <c r="D12" s="30"/>
      <c r="E12" s="33"/>
      <c r="F12" s="33"/>
      <c r="G12" s="34"/>
      <c r="H12" s="33"/>
      <c r="I12" s="33"/>
      <c r="J12" s="37"/>
      <c r="K12" s="33"/>
      <c r="L12" s="32"/>
      <c r="M12" s="68"/>
    </row>
    <row r="13" spans="1:13">
      <c r="A13" s="29"/>
      <c r="B13" s="30"/>
      <c r="C13" s="30"/>
      <c r="D13" s="30"/>
      <c r="E13" s="31"/>
      <c r="F13" s="31"/>
      <c r="G13" s="41"/>
      <c r="H13" s="32"/>
      <c r="I13" s="40"/>
      <c r="J13" s="33"/>
      <c r="K13" s="32"/>
    </row>
    <row r="14" spans="1:13">
      <c r="A14" s="264" t="s">
        <v>18</v>
      </c>
      <c r="B14" s="264"/>
      <c r="C14" s="265"/>
      <c r="D14" s="265"/>
      <c r="E14" s="265"/>
      <c r="F14" s="265"/>
      <c r="G14" s="265"/>
      <c r="H14" s="265"/>
      <c r="K14" s="33"/>
      <c r="L14" s="32"/>
    </row>
    <row r="15" spans="1:13">
      <c r="A15" s="266" t="s">
        <v>17</v>
      </c>
      <c r="B15" s="266" t="s">
        <v>1</v>
      </c>
      <c r="C15" s="266" t="s">
        <v>2</v>
      </c>
      <c r="D15" s="266" t="s">
        <v>19</v>
      </c>
      <c r="E15" s="266" t="s">
        <v>20</v>
      </c>
      <c r="F15" s="266" t="s">
        <v>21</v>
      </c>
      <c r="G15" s="266" t="s">
        <v>22</v>
      </c>
      <c r="H15" s="266" t="s">
        <v>23</v>
      </c>
      <c r="K15" s="33"/>
      <c r="L15" s="32"/>
    </row>
    <row r="16" spans="1:13" ht="39" thickBot="1">
      <c r="A16" s="267" t="s">
        <v>209</v>
      </c>
      <c r="B16" s="267" t="s">
        <v>30</v>
      </c>
      <c r="C16" s="267" t="s">
        <v>31</v>
      </c>
      <c r="D16" s="267" t="s">
        <v>32</v>
      </c>
      <c r="E16" s="267" t="s">
        <v>33</v>
      </c>
      <c r="F16" s="267" t="s">
        <v>44</v>
      </c>
      <c r="G16" s="267" t="s">
        <v>43</v>
      </c>
      <c r="H16" s="267" t="s">
        <v>34</v>
      </c>
      <c r="I16" s="48"/>
      <c r="J16" s="49"/>
      <c r="K16" s="32"/>
    </row>
    <row r="17" spans="1:19">
      <c r="A17" s="268" t="s">
        <v>273</v>
      </c>
      <c r="B17" s="269" t="s">
        <v>293</v>
      </c>
      <c r="C17" s="268" t="s">
        <v>294</v>
      </c>
      <c r="D17" s="270" t="s">
        <v>39</v>
      </c>
      <c r="E17" s="271" t="s">
        <v>211</v>
      </c>
      <c r="F17" s="270" t="s">
        <v>40</v>
      </c>
      <c r="G17" s="270" t="s">
        <v>84</v>
      </c>
      <c r="H17" s="272"/>
    </row>
    <row r="18" spans="1:19" ht="15">
      <c r="A18" s="268" t="s">
        <v>164</v>
      </c>
      <c r="B18" s="273" t="str">
        <f>"P_"&amp;B17</f>
        <v>P_ESTCAESS00</v>
      </c>
      <c r="C18" s="274" t="str">
        <f>C17&amp;" (accompanying tech to represent power)"</f>
        <v>BY-Diabatic CAES ELC Storage: DayNite (accompanying tech to represent power)</v>
      </c>
      <c r="D18" s="270" t="s">
        <v>39</v>
      </c>
      <c r="E18" s="273" t="s">
        <v>71</v>
      </c>
      <c r="F18" s="270" t="s">
        <v>40</v>
      </c>
      <c r="G18" s="265"/>
      <c r="H18" s="265"/>
      <c r="I18" s="20"/>
      <c r="J18" s="20"/>
      <c r="K18" s="20"/>
      <c r="L18" s="20"/>
      <c r="M18" s="20"/>
      <c r="N18" s="20"/>
      <c r="O18" s="20"/>
      <c r="S18" s="20"/>
    </row>
    <row r="19" spans="1:19" ht="15">
      <c r="A19" s="275" t="s">
        <v>164</v>
      </c>
      <c r="B19" s="275" t="s">
        <v>303</v>
      </c>
      <c r="C19" s="275" t="s">
        <v>304</v>
      </c>
      <c r="D19" s="276" t="s">
        <v>39</v>
      </c>
      <c r="E19" s="275" t="s">
        <v>211</v>
      </c>
      <c r="F19" s="276" t="s">
        <v>40</v>
      </c>
      <c r="G19" s="277"/>
      <c r="H19" s="277"/>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64" t="s">
        <v>8</v>
      </c>
      <c r="B22" s="278"/>
      <c r="C22" s="278"/>
      <c r="D22" s="278"/>
      <c r="E22" s="278"/>
      <c r="F22" s="278"/>
      <c r="G22" s="278"/>
      <c r="H22" s="278"/>
      <c r="P22" s="20"/>
    </row>
    <row r="23" spans="1:19" ht="15">
      <c r="A23" s="279" t="s">
        <v>9</v>
      </c>
      <c r="B23" s="279" t="s">
        <v>7</v>
      </c>
      <c r="C23" s="279" t="s">
        <v>10</v>
      </c>
      <c r="D23" s="280" t="s">
        <v>11</v>
      </c>
      <c r="E23" s="280" t="s">
        <v>12</v>
      </c>
      <c r="F23" s="280" t="s">
        <v>13</v>
      </c>
      <c r="G23" s="280" t="s">
        <v>14</v>
      </c>
      <c r="H23" s="280" t="s">
        <v>15</v>
      </c>
      <c r="P23" s="20"/>
    </row>
    <row r="24" spans="1:19" ht="39" thickBot="1">
      <c r="A24" s="281" t="s">
        <v>208</v>
      </c>
      <c r="B24" s="281" t="s">
        <v>24</v>
      </c>
      <c r="C24" s="281" t="s">
        <v>25</v>
      </c>
      <c r="D24" s="281" t="s">
        <v>11</v>
      </c>
      <c r="E24" s="281" t="s">
        <v>26</v>
      </c>
      <c r="F24" s="281" t="s">
        <v>27</v>
      </c>
      <c r="G24" s="281" t="s">
        <v>28</v>
      </c>
      <c r="H24" s="281" t="s">
        <v>29</v>
      </c>
      <c r="I24" s="30"/>
      <c r="J24" s="51"/>
      <c r="K24" s="30"/>
      <c r="L24" s="29"/>
      <c r="M24" s="30"/>
      <c r="N24" s="30"/>
      <c r="P24" s="20"/>
    </row>
    <row r="25" spans="1:19" ht="15">
      <c r="A25" s="282" t="s">
        <v>352</v>
      </c>
      <c r="B25" s="283" t="str">
        <f>"AUX_"&amp;B17</f>
        <v>AUX_ESTCAESS00</v>
      </c>
      <c r="C25" s="282" t="str">
        <f>"Auxiliary input for "&amp;C17</f>
        <v>Auxiliary input for BY-Diabatic CAES ELC Storage: DayNite</v>
      </c>
      <c r="D25" s="282" t="s">
        <v>39</v>
      </c>
      <c r="E25" s="284" t="s">
        <v>336</v>
      </c>
      <c r="F25" s="282" t="s">
        <v>40</v>
      </c>
      <c r="G25" s="282"/>
      <c r="H25" s="282"/>
      <c r="I25" s="30"/>
      <c r="J25" s="51"/>
      <c r="K25" s="30"/>
      <c r="L25" s="29"/>
      <c r="M25" s="30"/>
      <c r="N25" s="30"/>
      <c r="P25" s="20"/>
    </row>
    <row r="26" spans="1:19" ht="15">
      <c r="A26" s="277" t="s">
        <v>84</v>
      </c>
      <c r="B26" s="285" t="s">
        <v>303</v>
      </c>
      <c r="C26" s="285" t="s">
        <v>278</v>
      </c>
      <c r="D26" s="285" t="s">
        <v>39</v>
      </c>
      <c r="E26" s="286"/>
      <c r="F26" s="285" t="s">
        <v>40</v>
      </c>
      <c r="G26" s="285"/>
      <c r="H26" s="285"/>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J48" sqref="J48"/>
    </sheetView>
  </sheetViews>
  <sheetFormatPr defaultRowHeight="12.75"/>
  <sheetData>
    <row r="1" spans="1:2" ht="15">
      <c r="A1" s="159" t="s">
        <v>305</v>
      </c>
    </row>
    <row r="2" spans="1:2">
      <c r="A2" s="19" t="s">
        <v>215</v>
      </c>
      <c r="B2" s="19" t="s">
        <v>216</v>
      </c>
    </row>
    <row r="3" spans="1:2">
      <c r="A3" s="19" t="s">
        <v>217</v>
      </c>
      <c r="B3" s="19" t="s">
        <v>218</v>
      </c>
    </row>
    <row r="4" spans="1:2">
      <c r="A4" s="19" t="s">
        <v>219</v>
      </c>
      <c r="B4" s="19" t="s">
        <v>220</v>
      </c>
    </row>
    <row r="5" spans="1:2">
      <c r="A5" s="19" t="s">
        <v>221</v>
      </c>
      <c r="B5" s="19" t="s">
        <v>306</v>
      </c>
    </row>
    <row r="6" spans="1:2">
      <c r="A6" s="19" t="s">
        <v>223</v>
      </c>
      <c r="B6" s="19" t="s">
        <v>222</v>
      </c>
    </row>
    <row r="7" spans="1:2">
      <c r="A7" s="19" t="s">
        <v>225</v>
      </c>
      <c r="B7" s="19" t="s">
        <v>224</v>
      </c>
    </row>
    <row r="8" spans="1:2">
      <c r="A8" s="19" t="s">
        <v>226</v>
      </c>
      <c r="B8" t="s">
        <v>307</v>
      </c>
    </row>
    <row r="9" spans="1:2">
      <c r="A9" s="19" t="s">
        <v>228</v>
      </c>
      <c r="B9" s="19" t="s">
        <v>227</v>
      </c>
    </row>
    <row r="10" spans="1:2">
      <c r="A10" s="19" t="s">
        <v>230</v>
      </c>
      <c r="B10" s="19" t="s">
        <v>229</v>
      </c>
    </row>
    <row r="11" spans="1:2">
      <c r="A11" t="s">
        <v>232</v>
      </c>
      <c r="B11" s="19" t="s">
        <v>231</v>
      </c>
    </row>
    <row r="12" spans="1:2">
      <c r="A12" t="s">
        <v>233</v>
      </c>
      <c r="B12" s="19" t="s">
        <v>308</v>
      </c>
    </row>
    <row r="13" spans="1:2">
      <c r="A13" s="19" t="s">
        <v>234</v>
      </c>
      <c r="B13" s="19" t="s">
        <v>309</v>
      </c>
    </row>
    <row r="14" spans="1:2">
      <c r="A14" s="19" t="s">
        <v>236</v>
      </c>
      <c r="B14" s="19" t="s">
        <v>235</v>
      </c>
    </row>
    <row r="15" spans="1:2">
      <c r="A15" s="19" t="s">
        <v>238</v>
      </c>
      <c r="B15" s="19" t="s">
        <v>237</v>
      </c>
    </row>
    <row r="16" spans="1:2">
      <c r="A16" s="19" t="s">
        <v>239</v>
      </c>
      <c r="B16" s="19" t="s">
        <v>310</v>
      </c>
    </row>
    <row r="17" spans="1:2">
      <c r="A17" s="19" t="s">
        <v>241</v>
      </c>
      <c r="B17" s="19" t="s">
        <v>311</v>
      </c>
    </row>
    <row r="18" spans="1:2">
      <c r="A18" s="19" t="s">
        <v>243</v>
      </c>
      <c r="B18" s="19" t="s">
        <v>240</v>
      </c>
    </row>
    <row r="19" spans="1:2">
      <c r="A19" s="19" t="s">
        <v>245</v>
      </c>
      <c r="B19" s="19" t="s">
        <v>242</v>
      </c>
    </row>
    <row r="20" spans="1:2">
      <c r="A20" s="19" t="s">
        <v>247</v>
      </c>
      <c r="B20" s="19" t="s">
        <v>312</v>
      </c>
    </row>
    <row r="21" spans="1:2">
      <c r="A21" s="19" t="s">
        <v>249</v>
      </c>
      <c r="B21" s="19" t="s">
        <v>244</v>
      </c>
    </row>
    <row r="22" spans="1:2">
      <c r="A22" s="19" t="s">
        <v>251</v>
      </c>
      <c r="B22" s="19" t="s">
        <v>246</v>
      </c>
    </row>
    <row r="23" spans="1:2">
      <c r="A23" s="19" t="s">
        <v>253</v>
      </c>
      <c r="B23" s="19" t="s">
        <v>248</v>
      </c>
    </row>
    <row r="24" spans="1:2">
      <c r="A24" s="19" t="s">
        <v>255</v>
      </c>
      <c r="B24" s="19" t="s">
        <v>250</v>
      </c>
    </row>
    <row r="25" spans="1:2">
      <c r="A25" t="s">
        <v>313</v>
      </c>
      <c r="B25" t="s">
        <v>252</v>
      </c>
    </row>
    <row r="26" spans="1:2">
      <c r="A26" t="s">
        <v>314</v>
      </c>
      <c r="B26" t="s">
        <v>254</v>
      </c>
    </row>
    <row r="27" spans="1:2">
      <c r="A27" t="s">
        <v>315</v>
      </c>
      <c r="B27" t="s">
        <v>316</v>
      </c>
    </row>
    <row r="28" spans="1:2">
      <c r="A28" t="s">
        <v>317</v>
      </c>
      <c r="B28" s="19" t="s">
        <v>318</v>
      </c>
    </row>
    <row r="29" spans="1:2">
      <c r="A29" t="s">
        <v>319</v>
      </c>
      <c r="B29" s="19" t="s">
        <v>320</v>
      </c>
    </row>
    <row r="30" spans="1:2">
      <c r="B30" s="19"/>
    </row>
    <row r="31" spans="1:2">
      <c r="B31" s="19"/>
    </row>
    <row r="33" spans="1:2">
      <c r="A33" t="s">
        <v>230</v>
      </c>
      <c r="B33" t="s">
        <v>240</v>
      </c>
    </row>
    <row r="34" spans="1:2">
      <c r="A34" t="s">
        <v>264</v>
      </c>
      <c r="B34" t="s">
        <v>216</v>
      </c>
    </row>
    <row r="35" spans="1:2">
      <c r="A35" t="s">
        <v>265</v>
      </c>
      <c r="B35" t="s">
        <v>321</v>
      </c>
    </row>
    <row r="36" spans="1:2">
      <c r="A36" t="s">
        <v>267</v>
      </c>
      <c r="B36" t="s">
        <v>266</v>
      </c>
    </row>
    <row r="37" spans="1:2">
      <c r="A37" t="s">
        <v>253</v>
      </c>
      <c r="B37" t="s">
        <v>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8"/>
  <sheetViews>
    <sheetView zoomScale="90" zoomScaleNormal="90" workbookViewId="0">
      <selection activeCell="F11" sqref="F11"/>
    </sheetView>
  </sheetViews>
  <sheetFormatPr defaultColWidth="11.42578125" defaultRowHeight="12.75"/>
  <cols>
    <col min="1" max="1" width="16.28515625" style="19" customWidth="1"/>
    <col min="2" max="2" width="19.7109375" style="19" customWidth="1"/>
    <col min="3" max="3" width="36.7109375" style="19"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16384" width="11.42578125" style="19"/>
  </cols>
  <sheetData>
    <row r="1" spans="1:21" ht="23.25">
      <c r="A1" s="22" t="s">
        <v>275</v>
      </c>
    </row>
    <row r="2" spans="1:21" ht="15.75">
      <c r="A2" s="23"/>
    </row>
    <row r="3" spans="1:21">
      <c r="E3" s="26" t="s">
        <v>93</v>
      </c>
      <c r="H3" s="24"/>
      <c r="I3" s="24"/>
      <c r="J3" s="24"/>
      <c r="K3" s="24"/>
      <c r="L3" s="25"/>
      <c r="M3" s="25"/>
      <c r="U3" s="45"/>
    </row>
    <row r="4" spans="1:21" ht="25.5">
      <c r="A4" s="1" t="s">
        <v>1</v>
      </c>
      <c r="B4" s="1" t="s">
        <v>3</v>
      </c>
      <c r="C4" s="1" t="s">
        <v>75</v>
      </c>
      <c r="D4" s="1" t="s">
        <v>4</v>
      </c>
      <c r="E4" s="1" t="s">
        <v>381</v>
      </c>
      <c r="F4" s="21" t="s">
        <v>16</v>
      </c>
      <c r="G4" s="21" t="s">
        <v>79</v>
      </c>
      <c r="H4" s="21" t="s">
        <v>78</v>
      </c>
      <c r="I4" s="21" t="s">
        <v>49</v>
      </c>
      <c r="J4" s="56" t="s">
        <v>114</v>
      </c>
      <c r="K4" s="56" t="s">
        <v>349</v>
      </c>
      <c r="L4" s="56" t="s">
        <v>269</v>
      </c>
      <c r="M4" s="21" t="s">
        <v>77</v>
      </c>
      <c r="N4" s="56" t="s">
        <v>350</v>
      </c>
      <c r="O4" s="56" t="s">
        <v>351</v>
      </c>
      <c r="P4" s="21" t="s">
        <v>72</v>
      </c>
      <c r="Q4" s="56" t="s">
        <v>117</v>
      </c>
      <c r="R4" s="56" t="s">
        <v>118</v>
      </c>
      <c r="T4" s="80" t="s">
        <v>116</v>
      </c>
      <c r="U4" s="80" t="s">
        <v>133</v>
      </c>
    </row>
    <row r="5" spans="1:21" ht="39" thickBot="1">
      <c r="A5" s="27" t="s">
        <v>42</v>
      </c>
      <c r="B5" s="27" t="s">
        <v>35</v>
      </c>
      <c r="C5" s="27" t="s">
        <v>85</v>
      </c>
      <c r="D5" s="27" t="s">
        <v>36</v>
      </c>
      <c r="E5" s="27" t="s">
        <v>382</v>
      </c>
      <c r="F5" s="28"/>
      <c r="G5" s="28" t="s">
        <v>81</v>
      </c>
      <c r="H5" s="28" t="s">
        <v>83</v>
      </c>
      <c r="I5" s="28"/>
      <c r="J5" s="28"/>
      <c r="K5" s="28" t="s">
        <v>355</v>
      </c>
      <c r="L5" s="28" t="s">
        <v>355</v>
      </c>
      <c r="M5" s="28" t="s">
        <v>355</v>
      </c>
      <c r="N5" s="28" t="s">
        <v>355</v>
      </c>
      <c r="O5" s="28" t="s">
        <v>82</v>
      </c>
      <c r="P5" s="28"/>
      <c r="Q5" s="28" t="s">
        <v>119</v>
      </c>
      <c r="R5" s="28" t="s">
        <v>120</v>
      </c>
      <c r="T5" s="28"/>
      <c r="U5" s="28"/>
    </row>
    <row r="6" spans="1:21">
      <c r="A6" s="66" t="str">
        <f>B46</f>
        <v>ESTCAESS101</v>
      </c>
      <c r="B6" s="66" t="str">
        <f>B86</f>
        <v>DUMDCAES</v>
      </c>
      <c r="C6" s="66"/>
      <c r="D6" s="66" t="s">
        <v>74</v>
      </c>
      <c r="E6" s="66"/>
      <c r="F6" s="60">
        <f>Input_DATA!C3</f>
        <v>2023</v>
      </c>
      <c r="G6" s="60">
        <v>45</v>
      </c>
      <c r="H6" s="61">
        <f>Input_DATA!R3/SUM(Input_DATA!P3:Q3)</f>
        <v>0.55865921787709494</v>
      </c>
      <c r="I6" s="69"/>
      <c r="J6" s="69"/>
      <c r="K6" s="62">
        <f>Input_DATA!I3</f>
        <v>30.701754385964914</v>
      </c>
      <c r="L6" s="62"/>
      <c r="M6" s="62">
        <f>Input_DATA!K3</f>
        <v>23.026315789473685</v>
      </c>
      <c r="N6" s="63">
        <f>Input_DATA!M3</f>
        <v>4.6080000000000003E-2</v>
      </c>
      <c r="O6" s="330"/>
      <c r="P6" s="65">
        <f t="shared" ref="P6:P16" si="0">3.6/1000</f>
        <v>3.5999999999999999E-3</v>
      </c>
      <c r="Q6" s="58"/>
      <c r="R6" s="62"/>
      <c r="T6" s="60">
        <v>0</v>
      </c>
      <c r="U6" s="60">
        <v>5</v>
      </c>
    </row>
    <row r="7" spans="1:21">
      <c r="A7" s="66"/>
      <c r="B7" s="66"/>
      <c r="C7" s="66" t="str">
        <f>"AUX_"&amp;A6</f>
        <v>AUX_ESTCAESS101</v>
      </c>
      <c r="D7" s="66"/>
      <c r="E7" s="345" t="str">
        <f>$B$84</f>
        <v>AUX_VARSOUT</v>
      </c>
      <c r="F7" s="60"/>
      <c r="G7" s="60"/>
      <c r="H7" s="61"/>
      <c r="I7" s="62"/>
      <c r="J7" s="69"/>
      <c r="K7" s="62"/>
      <c r="L7" s="62"/>
      <c r="M7" s="62"/>
      <c r="N7" s="63"/>
      <c r="O7" s="330"/>
      <c r="P7" s="65"/>
      <c r="Q7" s="58"/>
      <c r="R7" s="62"/>
      <c r="T7" s="60"/>
      <c r="U7" s="60"/>
    </row>
    <row r="8" spans="1:21">
      <c r="A8" s="51" t="str">
        <f>B47</f>
        <v>ESTCAESS102</v>
      </c>
      <c r="B8" s="51" t="s">
        <v>74</v>
      </c>
      <c r="C8" s="51"/>
      <c r="D8" s="51" t="s">
        <v>74</v>
      </c>
      <c r="E8" s="51"/>
      <c r="F8" s="33">
        <f>Input_DATA!C4</f>
        <v>2023</v>
      </c>
      <c r="G8" s="33">
        <v>45</v>
      </c>
      <c r="H8" s="72">
        <f>Input_DATA!D4</f>
        <v>0.69930069930069938</v>
      </c>
      <c r="I8" s="35"/>
      <c r="J8" s="35"/>
      <c r="K8" s="36">
        <f>Input_DATA!I4</f>
        <v>45.471600000000002</v>
      </c>
      <c r="L8" s="36"/>
      <c r="M8" s="36">
        <f>Input_DATA!K4</f>
        <v>45.471600000000002</v>
      </c>
      <c r="N8" s="37">
        <f>Input_DATA!M4</f>
        <v>4.6080000000000003E-2</v>
      </c>
      <c r="O8" s="330"/>
      <c r="P8" s="68">
        <f t="shared" si="0"/>
        <v>3.5999999999999999E-3</v>
      </c>
      <c r="Q8" s="33"/>
      <c r="R8" s="33"/>
      <c r="T8" s="33"/>
      <c r="U8" s="33"/>
    </row>
    <row r="9" spans="1:21">
      <c r="A9" s="51"/>
      <c r="B9" s="51"/>
      <c r="C9" s="51" t="str">
        <f>"AUX_"&amp;A8</f>
        <v>AUX_ESTCAESS102</v>
      </c>
      <c r="D9" s="51"/>
      <c r="E9" s="345" t="str">
        <f>$B$84</f>
        <v>AUX_VARSOUT</v>
      </c>
      <c r="F9" s="33"/>
      <c r="G9" s="33"/>
      <c r="H9" s="72"/>
      <c r="I9" s="35"/>
      <c r="J9" s="35"/>
      <c r="K9" s="36"/>
      <c r="L9" s="36"/>
      <c r="M9" s="36"/>
      <c r="N9" s="37"/>
      <c r="O9" s="330"/>
      <c r="P9" s="68"/>
      <c r="Q9" s="33"/>
      <c r="R9" s="33"/>
      <c r="T9" s="33"/>
      <c r="U9" s="33"/>
    </row>
    <row r="10" spans="1:21">
      <c r="A10" s="66" t="str">
        <f>B48</f>
        <v>ESTHYDPS101</v>
      </c>
      <c r="B10" s="66" t="s">
        <v>74</v>
      </c>
      <c r="C10" s="66"/>
      <c r="D10" s="66" t="str">
        <f>B10</f>
        <v>ELCHIG</v>
      </c>
      <c r="E10" s="66"/>
      <c r="F10" s="60">
        <v>2005</v>
      </c>
      <c r="G10" s="60">
        <f>Input_DATA!E7</f>
        <v>60</v>
      </c>
      <c r="H10" s="61">
        <f>Input_DATA!D7</f>
        <v>0.8</v>
      </c>
      <c r="I10" s="60"/>
      <c r="J10" s="60"/>
      <c r="K10" s="62">
        <f>Input_DATA!I7</f>
        <v>98.211600000000004</v>
      </c>
      <c r="L10" s="62"/>
      <c r="M10" s="62">
        <f>Input_DATA!K7</f>
        <v>98.211600000000004</v>
      </c>
      <c r="N10" s="63"/>
      <c r="O10" s="331"/>
      <c r="P10" s="65">
        <f t="shared" si="0"/>
        <v>3.5999999999999999E-3</v>
      </c>
      <c r="Q10" s="65"/>
      <c r="R10" s="65"/>
      <c r="T10" s="60">
        <v>0</v>
      </c>
      <c r="U10" s="60">
        <v>5</v>
      </c>
    </row>
    <row r="11" spans="1:21">
      <c r="A11" s="66"/>
      <c r="B11" s="66"/>
      <c r="C11" s="66" t="str">
        <f>"AUX_"&amp;A10</f>
        <v>AUX_ESTHYDPS101</v>
      </c>
      <c r="D11" s="66"/>
      <c r="E11" s="345" t="str">
        <f>$B$84</f>
        <v>AUX_VARSOUT</v>
      </c>
      <c r="F11" s="60"/>
      <c r="G11" s="60"/>
      <c r="H11" s="61"/>
      <c r="I11" s="60"/>
      <c r="J11" s="60"/>
      <c r="K11" s="62"/>
      <c r="L11" s="62"/>
      <c r="M11" s="62"/>
      <c r="N11" s="63"/>
      <c r="O11" s="331"/>
      <c r="P11" s="65"/>
      <c r="Q11" s="65"/>
      <c r="R11" s="65"/>
      <c r="T11" s="60"/>
      <c r="U11" s="60"/>
    </row>
    <row r="12" spans="1:21">
      <c r="A12" s="51" t="str">
        <f>B49</f>
        <v>ESTBATS101</v>
      </c>
      <c r="B12" s="51" t="s">
        <v>74</v>
      </c>
      <c r="C12" s="51"/>
      <c r="D12" s="51" t="s">
        <v>74</v>
      </c>
      <c r="E12" s="51"/>
      <c r="F12" s="33">
        <f>Input_DATA!C8</f>
        <v>2023</v>
      </c>
      <c r="G12" s="33">
        <f>Input_DATA!E8</f>
        <v>8</v>
      </c>
      <c r="H12" s="72">
        <f>Input_DATA!D8</f>
        <v>0.8</v>
      </c>
      <c r="I12" s="35"/>
      <c r="J12" s="35"/>
      <c r="K12" s="36">
        <f>Input_DATA!I8</f>
        <v>175.5</v>
      </c>
      <c r="L12" s="36"/>
      <c r="M12" s="36">
        <f>Input_DATA!K8</f>
        <v>135</v>
      </c>
      <c r="N12" s="37"/>
      <c r="O12" s="330"/>
      <c r="P12" s="68">
        <f t="shared" si="0"/>
        <v>3.5999999999999999E-3</v>
      </c>
      <c r="Q12" s="33"/>
      <c r="R12" s="33"/>
      <c r="T12" s="33">
        <v>0</v>
      </c>
      <c r="U12" s="33">
        <v>5</v>
      </c>
    </row>
    <row r="13" spans="1:21">
      <c r="A13" s="51"/>
      <c r="B13" s="51"/>
      <c r="C13" s="51" t="str">
        <f>"AUX_"&amp;A12</f>
        <v>AUX_ESTBATS101</v>
      </c>
      <c r="D13" s="51"/>
      <c r="E13" s="345" t="str">
        <f>$B$84</f>
        <v>AUX_VARSOUT</v>
      </c>
      <c r="F13" s="33"/>
      <c r="G13" s="33"/>
      <c r="H13" s="72"/>
      <c r="I13" s="35"/>
      <c r="J13" s="35"/>
      <c r="K13" s="36"/>
      <c r="L13" s="36"/>
      <c r="M13" s="36"/>
      <c r="N13" s="37"/>
      <c r="O13" s="330"/>
      <c r="P13" s="68"/>
      <c r="Q13" s="33"/>
      <c r="R13" s="33"/>
      <c r="T13" s="33"/>
      <c r="U13" s="33"/>
    </row>
    <row r="14" spans="1:21">
      <c r="A14" s="66" t="str">
        <f>B50</f>
        <v>ESTBATS102</v>
      </c>
      <c r="B14" s="66" t="s">
        <v>74</v>
      </c>
      <c r="C14" s="66"/>
      <c r="D14" s="66" t="s">
        <v>74</v>
      </c>
      <c r="E14" s="66"/>
      <c r="F14" s="60">
        <f>Input_DATA!C9</f>
        <v>2023</v>
      </c>
      <c r="G14" s="60">
        <f>Input_DATA!E9</f>
        <v>10</v>
      </c>
      <c r="H14" s="61">
        <f>Input_DATA!D9</f>
        <v>0.9</v>
      </c>
      <c r="I14" s="60"/>
      <c r="J14" s="60"/>
      <c r="K14" s="62">
        <f>Input_DATA!I9</f>
        <v>659.64912280701765</v>
      </c>
      <c r="L14" s="62">
        <f>Input_DATA!J9</f>
        <v>223.68421052631581</v>
      </c>
      <c r="M14" s="62">
        <f>Input_DATA!K9</f>
        <v>215.78947368421055</v>
      </c>
      <c r="N14" s="63"/>
      <c r="O14" s="331"/>
      <c r="P14" s="65">
        <f t="shared" si="0"/>
        <v>3.5999999999999999E-3</v>
      </c>
      <c r="Q14" s="65"/>
      <c r="R14" s="65"/>
      <c r="T14" s="60">
        <v>0</v>
      </c>
      <c r="U14" s="60">
        <v>5</v>
      </c>
    </row>
    <row r="15" spans="1:21">
      <c r="A15" s="66"/>
      <c r="B15" s="66"/>
      <c r="C15" s="66" t="str">
        <f>"AUX_"&amp;A14</f>
        <v>AUX_ESTBATS102</v>
      </c>
      <c r="D15" s="66"/>
      <c r="E15" s="345" t="str">
        <f>$B$84</f>
        <v>AUX_VARSOUT</v>
      </c>
      <c r="F15" s="60"/>
      <c r="G15" s="60"/>
      <c r="H15" s="61"/>
      <c r="I15" s="60"/>
      <c r="J15" s="60"/>
      <c r="K15" s="62"/>
      <c r="L15" s="62"/>
      <c r="M15" s="62"/>
      <c r="N15" s="63"/>
      <c r="O15" s="331"/>
      <c r="P15" s="65"/>
      <c r="Q15" s="65"/>
      <c r="R15" s="65"/>
      <c r="T15" s="60"/>
      <c r="U15" s="60"/>
    </row>
    <row r="16" spans="1:21">
      <c r="A16" s="51" t="str">
        <f t="shared" ref="A16" si="1">B51</f>
        <v>ESTBATS103</v>
      </c>
      <c r="B16" s="51" t="s">
        <v>74</v>
      </c>
      <c r="C16" s="51"/>
      <c r="D16" s="51" t="s">
        <v>74</v>
      </c>
      <c r="E16" s="51"/>
      <c r="F16" s="33">
        <f>Input_DATA!C10</f>
        <v>2023</v>
      </c>
      <c r="G16" s="33">
        <f>Input_DATA!E10</f>
        <v>10</v>
      </c>
      <c r="H16" s="72">
        <f>Input_DATA!D10</f>
        <v>0.85</v>
      </c>
      <c r="I16" s="35"/>
      <c r="J16" s="35"/>
      <c r="K16" s="36">
        <f>Input_DATA!I10</f>
        <v>307.01754385964915</v>
      </c>
      <c r="L16" s="36"/>
      <c r="M16" s="36">
        <f>Input_DATA!K10</f>
        <v>258.77192982456143</v>
      </c>
      <c r="N16" s="37"/>
      <c r="O16" s="330"/>
      <c r="P16" s="68">
        <f t="shared" si="0"/>
        <v>3.5999999999999999E-3</v>
      </c>
      <c r="Q16" s="33"/>
      <c r="R16" s="33"/>
      <c r="T16" s="33"/>
      <c r="U16" s="33"/>
    </row>
    <row r="17" spans="1:21">
      <c r="A17" s="51"/>
      <c r="B17" s="51"/>
      <c r="C17" s="51" t="str">
        <f>"AUX_"&amp;A16</f>
        <v>AUX_ESTBATS103</v>
      </c>
      <c r="D17" s="51"/>
      <c r="E17" s="345" t="str">
        <f>$B$84</f>
        <v>AUX_VARSOUT</v>
      </c>
      <c r="F17" s="33"/>
      <c r="G17" s="33"/>
      <c r="H17" s="72"/>
      <c r="I17" s="35"/>
      <c r="J17" s="35"/>
      <c r="K17" s="36"/>
      <c r="L17" s="36"/>
      <c r="M17" s="36"/>
      <c r="N17" s="37"/>
      <c r="O17" s="330"/>
      <c r="P17" s="68"/>
      <c r="Q17" s="33"/>
      <c r="R17" s="33"/>
      <c r="T17" s="33"/>
      <c r="U17" s="33"/>
    </row>
    <row r="18" spans="1:21">
      <c r="A18" s="148" t="str">
        <f t="shared" ref="A18:A23" si="2">B56</f>
        <v>P_ESTCAESS101</v>
      </c>
      <c r="B18" s="148" t="s">
        <v>270</v>
      </c>
      <c r="C18" s="148"/>
      <c r="D18" s="148" t="str">
        <f t="shared" ref="D18:D23" si="3">B74</f>
        <v>AUX_ESTCAESS101</v>
      </c>
      <c r="E18" s="148"/>
      <c r="F18" s="149">
        <f>F6</f>
        <v>2023</v>
      </c>
      <c r="G18" s="149">
        <v>30</v>
      </c>
      <c r="H18" s="148"/>
      <c r="I18" s="148"/>
      <c r="J18" s="148"/>
      <c r="K18" s="150">
        <f>Input_DATA!G3</f>
        <v>526.31578947368428</v>
      </c>
      <c r="L18" s="150"/>
      <c r="M18" s="150">
        <f>Input_DATA!H3</f>
        <v>394.73684210526318</v>
      </c>
      <c r="N18" s="152">
        <f>Input_DATA!L3</f>
        <v>6.8421052631578956</v>
      </c>
      <c r="O18" s="151"/>
      <c r="P18" s="153">
        <v>31.54</v>
      </c>
      <c r="Q18" s="151"/>
      <c r="R18" s="151"/>
      <c r="T18" s="153">
        <v>0</v>
      </c>
      <c r="U18" s="153">
        <v>5</v>
      </c>
    </row>
    <row r="19" spans="1:21">
      <c r="A19" s="95" t="str">
        <f t="shared" si="2"/>
        <v>P_ESTCAESS102</v>
      </c>
      <c r="B19" s="95" t="s">
        <v>270</v>
      </c>
      <c r="C19" s="95"/>
      <c r="D19" s="95" t="str">
        <f t="shared" si="3"/>
        <v>AUX_ESTCAESS102</v>
      </c>
      <c r="E19" s="95"/>
      <c r="F19" s="64">
        <f>F8</f>
        <v>2023</v>
      </c>
      <c r="G19" s="64">
        <v>30</v>
      </c>
      <c r="H19" s="95"/>
      <c r="I19" s="95"/>
      <c r="J19" s="95"/>
      <c r="K19" s="99">
        <f>Input_DATA!G4</f>
        <v>570.17543859649129</v>
      </c>
      <c r="L19" s="99"/>
      <c r="M19" s="99">
        <f>Input_DATA!H4</f>
        <v>488.84433161966456</v>
      </c>
      <c r="N19" s="101">
        <f>Input_DATA!L4</f>
        <v>7.4</v>
      </c>
      <c r="O19" s="94"/>
      <c r="P19" s="96">
        <v>31.54</v>
      </c>
      <c r="Q19" s="94"/>
      <c r="R19" s="94"/>
      <c r="T19" s="96"/>
      <c r="U19" s="96"/>
    </row>
    <row r="20" spans="1:21">
      <c r="A20" s="67" t="str">
        <f t="shared" si="2"/>
        <v>P_ESTHYDPS101</v>
      </c>
      <c r="B20" s="67" t="s">
        <v>270</v>
      </c>
      <c r="C20" s="67"/>
      <c r="D20" s="67" t="str">
        <f t="shared" si="3"/>
        <v>AUX_ESTHYDPS101</v>
      </c>
      <c r="E20" s="67"/>
      <c r="F20" s="31">
        <v>2005</v>
      </c>
      <c r="G20" s="31">
        <f>G10</f>
        <v>60</v>
      </c>
      <c r="H20" s="67"/>
      <c r="I20" s="67"/>
      <c r="J20" s="67"/>
      <c r="K20" s="97">
        <f>Input_DATA!G7</f>
        <v>1315.7894736842106</v>
      </c>
      <c r="L20" s="97"/>
      <c r="M20" s="97">
        <f>Input_DATA!H7</f>
        <v>1315.7894736842106</v>
      </c>
      <c r="N20" s="100">
        <f>Input_DATA!L7</f>
        <v>19.736842105263158</v>
      </c>
      <c r="O20" s="48"/>
      <c r="P20" s="49">
        <v>31.54</v>
      </c>
      <c r="Q20" s="48"/>
      <c r="R20" s="48"/>
      <c r="T20" s="49">
        <v>0</v>
      </c>
      <c r="U20" s="49">
        <v>5</v>
      </c>
    </row>
    <row r="21" spans="1:21">
      <c r="A21" s="95" t="str">
        <f t="shared" si="2"/>
        <v>P_ESTBATS101</v>
      </c>
      <c r="B21" s="95" t="s">
        <v>270</v>
      </c>
      <c r="C21" s="95"/>
      <c r="D21" s="95" t="str">
        <f t="shared" si="3"/>
        <v>AUX_ESTBATS101</v>
      </c>
      <c r="E21" s="95"/>
      <c r="F21" s="64">
        <f>F12</f>
        <v>2023</v>
      </c>
      <c r="G21" s="64">
        <f>G12</f>
        <v>8</v>
      </c>
      <c r="H21" s="95"/>
      <c r="I21" s="95"/>
      <c r="J21" s="95"/>
      <c r="K21" s="99">
        <f>IF(Input_DATA!G8=0,"",Input_DATA!G8)</f>
        <v>300</v>
      </c>
      <c r="L21" s="99"/>
      <c r="M21" s="99">
        <f>IF(Input_DATA!H8=0,"",Input_DATA!H8)</f>
        <v>175</v>
      </c>
      <c r="N21" s="101">
        <f>Input_DATA!L8</f>
        <v>4.2</v>
      </c>
      <c r="O21" s="94"/>
      <c r="P21" s="96">
        <v>31.54</v>
      </c>
      <c r="Q21" s="94"/>
      <c r="R21" s="94"/>
      <c r="T21" s="96">
        <v>0</v>
      </c>
      <c r="U21" s="96">
        <v>5</v>
      </c>
    </row>
    <row r="22" spans="1:21">
      <c r="A22" s="67" t="str">
        <f t="shared" si="2"/>
        <v>P_ESTBATS102</v>
      </c>
      <c r="B22" s="67" t="s">
        <v>270</v>
      </c>
      <c r="C22" s="67"/>
      <c r="D22" s="67" t="str">
        <f t="shared" si="3"/>
        <v>AUX_ESTBATS102</v>
      </c>
      <c r="E22" s="67"/>
      <c r="F22" s="31">
        <f>F14</f>
        <v>2023</v>
      </c>
      <c r="G22" s="31">
        <f>G14</f>
        <v>10</v>
      </c>
      <c r="H22" s="67"/>
      <c r="I22" s="67"/>
      <c r="J22" s="67"/>
      <c r="K22" s="97">
        <f>IF(Input_DATA!G9=0,"",Input_DATA!G9)</f>
        <v>300</v>
      </c>
      <c r="L22" s="97"/>
      <c r="M22" s="97">
        <f>IF(Input_DATA!H9=0,"",Input_DATA!H9)</f>
        <v>175</v>
      </c>
      <c r="N22" s="100">
        <f>Input_DATA!L9</f>
        <v>4.2</v>
      </c>
      <c r="O22" s="48"/>
      <c r="P22" s="49">
        <v>31.54</v>
      </c>
      <c r="Q22" s="48"/>
      <c r="R22" s="48"/>
      <c r="T22" s="49">
        <v>0</v>
      </c>
      <c r="U22" s="49">
        <v>5</v>
      </c>
    </row>
    <row r="23" spans="1:21">
      <c r="A23" s="78" t="str">
        <f t="shared" si="2"/>
        <v>P_ESTBATS103</v>
      </c>
      <c r="B23" s="78" t="s">
        <v>270</v>
      </c>
      <c r="C23" s="78"/>
      <c r="D23" s="78" t="str">
        <f t="shared" si="3"/>
        <v>AUX_ESTBATS103</v>
      </c>
      <c r="E23" s="78"/>
      <c r="F23" s="104">
        <f t="shared" ref="F23" si="4">F16</f>
        <v>2023</v>
      </c>
      <c r="G23" s="104">
        <f>G16</f>
        <v>10</v>
      </c>
      <c r="H23" s="78"/>
      <c r="I23" s="78"/>
      <c r="J23" s="78"/>
      <c r="K23" s="105">
        <f>IF(Input_DATA!G10=0,"",Input_DATA!G10)</f>
        <v>300</v>
      </c>
      <c r="L23" s="105"/>
      <c r="M23" s="105">
        <f>IF(Input_DATA!H10=0,"",Input_DATA!H10)</f>
        <v>175</v>
      </c>
      <c r="N23" s="106">
        <f>Input_DATA!L10</f>
        <v>4.5</v>
      </c>
      <c r="O23" s="77"/>
      <c r="P23" s="79">
        <v>31.54</v>
      </c>
      <c r="Q23" s="77"/>
      <c r="R23" s="77"/>
      <c r="T23" s="79"/>
      <c r="U23" s="79"/>
    </row>
    <row r="24" spans="1:21">
      <c r="A24" s="30" t="str">
        <f>B52</f>
        <v>ESTCAESS201</v>
      </c>
      <c r="B24" s="30" t="str">
        <f>B86</f>
        <v>DUMDCAES</v>
      </c>
      <c r="C24" s="30"/>
      <c r="D24" s="30" t="s">
        <v>74</v>
      </c>
      <c r="E24" s="30"/>
      <c r="F24" s="33">
        <v>2020</v>
      </c>
      <c r="G24" s="33">
        <f>G6</f>
        <v>45</v>
      </c>
      <c r="H24" s="154">
        <f>H6-0.05</f>
        <v>0.50865921787709489</v>
      </c>
      <c r="I24" s="57"/>
      <c r="J24" s="57"/>
      <c r="K24" s="36">
        <f>K6</f>
        <v>30.701754385964914</v>
      </c>
      <c r="L24" s="36"/>
      <c r="M24" s="36">
        <f>M6</f>
        <v>23.026315789473685</v>
      </c>
      <c r="N24" s="37">
        <f>N6</f>
        <v>4.6080000000000003E-2</v>
      </c>
      <c r="O24" s="330"/>
      <c r="P24" s="68">
        <f>3.6/1000</f>
        <v>3.5999999999999999E-3</v>
      </c>
      <c r="Q24" s="29"/>
      <c r="R24" s="36"/>
      <c r="T24" s="33"/>
      <c r="U24" s="33"/>
    </row>
    <row r="25" spans="1:21">
      <c r="A25" s="30"/>
      <c r="B25" s="30"/>
      <c r="C25" s="30" t="str">
        <f>"AUX_"&amp;A24</f>
        <v>AUX_ESTCAESS201</v>
      </c>
      <c r="D25" s="30"/>
      <c r="E25" s="345" t="str">
        <f>$B$84</f>
        <v>AUX_VARSOUT</v>
      </c>
      <c r="F25" s="33"/>
      <c r="G25" s="33"/>
      <c r="H25" s="154"/>
      <c r="I25" s="57"/>
      <c r="J25" s="57"/>
      <c r="K25" s="36"/>
      <c r="L25" s="36"/>
      <c r="M25" s="36"/>
      <c r="N25" s="37"/>
      <c r="O25" s="330"/>
      <c r="P25" s="68"/>
      <c r="Q25" s="29"/>
      <c r="R25" s="36"/>
      <c r="T25" s="33"/>
      <c r="U25" s="33"/>
    </row>
    <row r="26" spans="1:21">
      <c r="A26" s="59" t="str">
        <f>B53</f>
        <v>ESTHYDPS201</v>
      </c>
      <c r="B26" s="59" t="s">
        <v>74</v>
      </c>
      <c r="C26" s="59"/>
      <c r="D26" s="59" t="str">
        <f>B26</f>
        <v>ELCHIG</v>
      </c>
      <c r="E26" s="59"/>
      <c r="F26" s="60">
        <v>2020</v>
      </c>
      <c r="G26" s="60">
        <f>G10</f>
        <v>60</v>
      </c>
      <c r="H26" s="61">
        <f>H10-0.05</f>
        <v>0.75</v>
      </c>
      <c r="I26" s="60"/>
      <c r="J26" s="60"/>
      <c r="K26" s="62">
        <f>K10</f>
        <v>98.211600000000004</v>
      </c>
      <c r="L26" s="62"/>
      <c r="M26" s="62">
        <f>M10</f>
        <v>98.211600000000004</v>
      </c>
      <c r="N26" s="63"/>
      <c r="O26" s="331"/>
      <c r="P26" s="65">
        <f>3.6/1000</f>
        <v>3.5999999999999999E-3</v>
      </c>
      <c r="Q26" s="65"/>
      <c r="R26" s="65"/>
      <c r="T26" s="60"/>
      <c r="U26" s="60"/>
    </row>
    <row r="27" spans="1:21">
      <c r="A27" s="59"/>
      <c r="B27" s="59"/>
      <c r="C27" s="59" t="str">
        <f>"AUX_"&amp;A26</f>
        <v>AUX_ESTHYDPS201</v>
      </c>
      <c r="D27" s="59"/>
      <c r="E27" s="345" t="str">
        <f>$B$84</f>
        <v>AUX_VARSOUT</v>
      </c>
      <c r="F27" s="60"/>
      <c r="G27" s="60"/>
      <c r="H27" s="61"/>
      <c r="I27" s="60"/>
      <c r="J27" s="60"/>
      <c r="K27" s="62"/>
      <c r="L27" s="62"/>
      <c r="M27" s="62"/>
      <c r="N27" s="63"/>
      <c r="O27" s="331"/>
      <c r="P27" s="65"/>
      <c r="Q27" s="65"/>
      <c r="R27" s="65"/>
      <c r="T27" s="60"/>
      <c r="U27" s="60"/>
    </row>
    <row r="28" spans="1:21">
      <c r="A28" s="51" t="str">
        <f>B54</f>
        <v>ESTBATS201</v>
      </c>
      <c r="B28" s="51" t="str">
        <f>B26</f>
        <v>ELCHIG</v>
      </c>
      <c r="C28" s="51"/>
      <c r="D28" s="51" t="str">
        <f>D26</f>
        <v>ELCHIG</v>
      </c>
      <c r="E28" s="51"/>
      <c r="F28" s="33">
        <v>2020</v>
      </c>
      <c r="G28" s="33">
        <f>G12</f>
        <v>8</v>
      </c>
      <c r="H28" s="34">
        <f>H12-0.05</f>
        <v>0.75</v>
      </c>
      <c r="I28" s="33"/>
      <c r="J28" s="33"/>
      <c r="K28" s="36">
        <f>K12</f>
        <v>175.5</v>
      </c>
      <c r="L28" s="36"/>
      <c r="M28" s="36">
        <f>M12</f>
        <v>135</v>
      </c>
      <c r="N28" s="37"/>
      <c r="O28" s="331"/>
      <c r="P28" s="68">
        <f>3.6/1000</f>
        <v>3.5999999999999999E-3</v>
      </c>
      <c r="Q28" s="68"/>
      <c r="R28" s="68"/>
      <c r="T28" s="33"/>
      <c r="U28" s="33"/>
    </row>
    <row r="29" spans="1:21">
      <c r="A29" s="51"/>
      <c r="B29" s="51"/>
      <c r="C29" s="51" t="str">
        <f>"AUX_"&amp;A28</f>
        <v>AUX_ESTBATS201</v>
      </c>
      <c r="D29" s="51"/>
      <c r="E29" s="345" t="str">
        <f>$B$84</f>
        <v>AUX_VARSOUT</v>
      </c>
      <c r="F29" s="33"/>
      <c r="G29" s="33"/>
      <c r="H29" s="34"/>
      <c r="I29" s="33"/>
      <c r="J29" s="33"/>
      <c r="K29" s="36"/>
      <c r="L29" s="36"/>
      <c r="M29" s="36"/>
      <c r="N29" s="37"/>
      <c r="O29" s="331"/>
      <c r="P29" s="68"/>
      <c r="Q29" s="68"/>
      <c r="R29" s="68"/>
      <c r="T29" s="33"/>
      <c r="U29" s="33"/>
    </row>
    <row r="30" spans="1:21">
      <c r="A30" s="59" t="str">
        <f>B55</f>
        <v>ESTBATS202</v>
      </c>
      <c r="B30" s="59" t="s">
        <v>74</v>
      </c>
      <c r="C30" s="59"/>
      <c r="D30" s="59" t="s">
        <v>74</v>
      </c>
      <c r="E30" s="59"/>
      <c r="F30" s="60">
        <v>2020</v>
      </c>
      <c r="G30" s="60">
        <f>G14</f>
        <v>10</v>
      </c>
      <c r="H30" s="61">
        <f>H14-0.05</f>
        <v>0.85</v>
      </c>
      <c r="I30" s="60"/>
      <c r="J30" s="60"/>
      <c r="K30" s="62">
        <f>K14</f>
        <v>659.64912280701765</v>
      </c>
      <c r="L30" s="62"/>
      <c r="M30" s="62">
        <f>M14</f>
        <v>215.78947368421055</v>
      </c>
      <c r="N30" s="63"/>
      <c r="O30" s="331"/>
      <c r="P30" s="65">
        <f>3.6/1000</f>
        <v>3.5999999999999999E-3</v>
      </c>
      <c r="Q30" s="65"/>
      <c r="R30" s="65"/>
      <c r="T30" s="60"/>
      <c r="U30" s="60"/>
    </row>
    <row r="31" spans="1:21">
      <c r="A31" s="59"/>
      <c r="B31" s="59"/>
      <c r="C31" s="59" t="str">
        <f>"AUX_"&amp;A30</f>
        <v>AUX_ESTBATS202</v>
      </c>
      <c r="D31" s="59"/>
      <c r="E31" s="345" t="str">
        <f>$B$84</f>
        <v>AUX_VARSOUT</v>
      </c>
      <c r="F31" s="60"/>
      <c r="G31" s="60"/>
      <c r="H31" s="61"/>
      <c r="I31" s="60"/>
      <c r="J31" s="60"/>
      <c r="K31" s="62"/>
      <c r="L31" s="62"/>
      <c r="M31" s="62"/>
      <c r="N31" s="63"/>
      <c r="O31" s="331"/>
      <c r="P31" s="65"/>
      <c r="Q31" s="65"/>
      <c r="R31" s="65"/>
      <c r="T31" s="60"/>
      <c r="U31" s="60"/>
    </row>
    <row r="32" spans="1:21">
      <c r="A32" s="30" t="str">
        <f>B62</f>
        <v>P_ESTCAESS201</v>
      </c>
      <c r="B32" s="30" t="s">
        <v>270</v>
      </c>
      <c r="C32" s="30"/>
      <c r="D32" s="30" t="str">
        <f>B80</f>
        <v>AUX_ESTCAESS201</v>
      </c>
      <c r="E32" s="30"/>
      <c r="F32" s="31">
        <f>F24</f>
        <v>2020</v>
      </c>
      <c r="G32" s="31">
        <f>G18</f>
        <v>30</v>
      </c>
      <c r="H32" s="30"/>
      <c r="I32" s="30"/>
      <c r="J32" s="30"/>
      <c r="K32" s="36">
        <f>K18</f>
        <v>526.31578947368428</v>
      </c>
      <c r="L32" s="36"/>
      <c r="M32" s="36">
        <f>M18</f>
        <v>394.73684210526318</v>
      </c>
      <c r="N32" s="37">
        <f>N18</f>
        <v>6.8421052631578956</v>
      </c>
      <c r="O32" s="29"/>
      <c r="P32" s="33">
        <v>31.54</v>
      </c>
      <c r="Q32" s="29"/>
      <c r="R32" s="29"/>
      <c r="T32" s="33"/>
      <c r="U32" s="33"/>
    </row>
    <row r="33" spans="1:22">
      <c r="A33" s="59" t="str">
        <f>B63</f>
        <v>P_ESTHYDPS201</v>
      </c>
      <c r="B33" s="59" t="s">
        <v>270</v>
      </c>
      <c r="C33" s="59"/>
      <c r="D33" s="59" t="str">
        <f>B81</f>
        <v>AUX_ESTHYDPS201</v>
      </c>
      <c r="E33" s="59"/>
      <c r="F33" s="64">
        <f>F26</f>
        <v>2020</v>
      </c>
      <c r="G33" s="64">
        <f>G20</f>
        <v>60</v>
      </c>
      <c r="H33" s="59"/>
      <c r="I33" s="59"/>
      <c r="J33" s="59"/>
      <c r="K33" s="62">
        <f>K20</f>
        <v>1315.7894736842106</v>
      </c>
      <c r="L33" s="62"/>
      <c r="M33" s="62">
        <f t="shared" ref="M33:N35" si="5">M20</f>
        <v>1315.7894736842106</v>
      </c>
      <c r="N33" s="63">
        <f t="shared" si="5"/>
        <v>19.736842105263158</v>
      </c>
      <c r="O33" s="58"/>
      <c r="P33" s="60">
        <v>31.54</v>
      </c>
      <c r="Q33" s="58"/>
      <c r="R33" s="58"/>
      <c r="T33" s="60"/>
      <c r="U33" s="60"/>
    </row>
    <row r="34" spans="1:22">
      <c r="A34" s="30" t="str">
        <f>B64</f>
        <v>P_ESTBATS201</v>
      </c>
      <c r="B34" s="30" t="s">
        <v>270</v>
      </c>
      <c r="C34" s="30"/>
      <c r="D34" s="30" t="str">
        <f>B82</f>
        <v>AUX_ESTBATS201</v>
      </c>
      <c r="E34" s="30"/>
      <c r="F34" s="31">
        <f>F28</f>
        <v>2020</v>
      </c>
      <c r="G34" s="31">
        <f>G21</f>
        <v>8</v>
      </c>
      <c r="H34" s="30"/>
      <c r="I34" s="30"/>
      <c r="J34" s="30"/>
      <c r="K34" s="36">
        <f>K21</f>
        <v>300</v>
      </c>
      <c r="L34" s="36"/>
      <c r="M34" s="36">
        <f t="shared" si="5"/>
        <v>175</v>
      </c>
      <c r="N34" s="37">
        <f t="shared" si="5"/>
        <v>4.2</v>
      </c>
      <c r="O34" s="29"/>
      <c r="P34" s="33">
        <v>31.54</v>
      </c>
      <c r="Q34" s="29"/>
      <c r="R34" s="29"/>
      <c r="T34" s="33"/>
      <c r="U34" s="33"/>
    </row>
    <row r="35" spans="1:22">
      <c r="A35" s="78" t="str">
        <f>B65</f>
        <v>P_ESTBATS202</v>
      </c>
      <c r="B35" s="78" t="s">
        <v>270</v>
      </c>
      <c r="C35" s="78"/>
      <c r="D35" s="78" t="str">
        <f>B83</f>
        <v>AUX_ESTBATS202</v>
      </c>
      <c r="E35" s="78"/>
      <c r="F35" s="104">
        <f>F30</f>
        <v>2020</v>
      </c>
      <c r="G35" s="104">
        <f>G30</f>
        <v>10</v>
      </c>
      <c r="H35" s="78"/>
      <c r="I35" s="78"/>
      <c r="J35" s="78"/>
      <c r="K35" s="105">
        <f>K22</f>
        <v>300</v>
      </c>
      <c r="L35" s="105"/>
      <c r="M35" s="105">
        <f t="shared" si="5"/>
        <v>175</v>
      </c>
      <c r="N35" s="106">
        <f t="shared" si="5"/>
        <v>4.2</v>
      </c>
      <c r="O35" s="77"/>
      <c r="P35" s="79">
        <v>31.54</v>
      </c>
      <c r="Q35" s="77"/>
      <c r="R35" s="77"/>
      <c r="T35" s="79"/>
      <c r="U35" s="79"/>
    </row>
    <row r="36" spans="1:22">
      <c r="A36" s="75" t="str">
        <f>B67</f>
        <v>DUMSTOR</v>
      </c>
      <c r="B36" s="75"/>
      <c r="C36" s="75"/>
      <c r="D36" s="75" t="str">
        <f>B85</f>
        <v>DUMSTOR</v>
      </c>
      <c r="E36" s="75"/>
      <c r="F36" s="170">
        <v>2010</v>
      </c>
      <c r="G36" s="170"/>
      <c r="H36" s="75"/>
      <c r="I36" s="75"/>
      <c r="J36" s="75"/>
      <c r="K36" s="171"/>
      <c r="L36" s="171"/>
      <c r="M36" s="171"/>
      <c r="N36" s="172"/>
      <c r="O36" s="76"/>
      <c r="P36" s="173"/>
      <c r="Q36" s="76"/>
      <c r="R36" s="76"/>
      <c r="T36" s="173"/>
      <c r="U36" s="173"/>
    </row>
    <row r="37" spans="1:22">
      <c r="A37" s="66" t="str">
        <f>B66</f>
        <v>DUMDCAES</v>
      </c>
      <c r="B37" s="66" t="s">
        <v>74</v>
      </c>
      <c r="C37" s="66"/>
      <c r="D37" s="66"/>
      <c r="E37" s="66"/>
      <c r="F37" s="167">
        <f>Input_DATA!C4</f>
        <v>2023</v>
      </c>
      <c r="G37" s="167"/>
      <c r="H37" s="167"/>
      <c r="I37" s="168">
        <f>Input_DATA!P3/(Input_DATA!$P$3+Input_DATA!$Q$3)</f>
        <v>0.36871508379888268</v>
      </c>
      <c r="J37" s="66"/>
      <c r="K37" s="167"/>
      <c r="L37" s="167"/>
      <c r="M37" s="167"/>
      <c r="N37" s="167"/>
      <c r="O37" s="167"/>
      <c r="P37" s="167">
        <v>1</v>
      </c>
      <c r="Q37" s="66"/>
      <c r="R37" s="169"/>
      <c r="T37" s="167"/>
      <c r="U37" s="167"/>
    </row>
    <row r="38" spans="1:22">
      <c r="A38" s="66"/>
      <c r="B38" s="66" t="s">
        <v>76</v>
      </c>
      <c r="C38" s="66"/>
      <c r="D38" s="66"/>
      <c r="E38" s="66"/>
      <c r="F38" s="167"/>
      <c r="G38" s="167"/>
      <c r="H38" s="167"/>
      <c r="I38" s="168">
        <f>Input_DATA!Q3/(Input_DATA!$P$3+Input_DATA!$Q$3)</f>
        <v>0.63128491620111726</v>
      </c>
      <c r="J38" s="66"/>
      <c r="K38" s="167"/>
      <c r="L38" s="167"/>
      <c r="M38" s="167"/>
      <c r="N38" s="167"/>
      <c r="O38" s="167"/>
      <c r="P38" s="167"/>
      <c r="Q38" s="66"/>
      <c r="R38" s="169"/>
      <c r="T38" s="167"/>
      <c r="U38" s="167"/>
    </row>
    <row r="39" spans="1:22">
      <c r="A39" s="66"/>
      <c r="B39" s="66"/>
      <c r="C39" s="66"/>
      <c r="D39" s="66" t="str">
        <f>B86</f>
        <v>DUMDCAES</v>
      </c>
      <c r="E39" s="66"/>
      <c r="F39" s="167"/>
      <c r="G39" s="167"/>
      <c r="H39" s="167"/>
      <c r="I39" s="167"/>
      <c r="J39" s="169">
        <v>1</v>
      </c>
      <c r="K39" s="167"/>
      <c r="L39" s="167"/>
      <c r="M39" s="167"/>
      <c r="N39" s="167"/>
      <c r="O39" s="167"/>
      <c r="P39" s="167"/>
      <c r="Q39" s="66"/>
      <c r="R39" s="169"/>
      <c r="T39" s="167"/>
      <c r="U39" s="167"/>
    </row>
    <row r="40" spans="1:22">
      <c r="A40" s="88"/>
      <c r="B40" s="88"/>
      <c r="C40" s="88"/>
      <c r="D40" s="67"/>
      <c r="E40" s="31"/>
      <c r="F40" s="31"/>
      <c r="G40" s="67"/>
      <c r="H40" s="67"/>
      <c r="I40" s="67"/>
      <c r="J40" s="97"/>
      <c r="K40" s="97"/>
      <c r="L40" s="97"/>
      <c r="M40" s="100"/>
      <c r="N40" s="48"/>
      <c r="O40" s="49"/>
      <c r="P40" s="48"/>
      <c r="Q40" s="48"/>
      <c r="S40" s="49"/>
      <c r="T40" s="49"/>
    </row>
    <row r="41" spans="1:22">
      <c r="A41" s="88"/>
      <c r="B41" s="88"/>
      <c r="C41" s="88"/>
      <c r="D41" s="67"/>
      <c r="E41" s="31"/>
      <c r="F41" s="31"/>
      <c r="G41" s="67"/>
      <c r="H41" s="67"/>
      <c r="I41" s="67"/>
      <c r="J41" s="97"/>
      <c r="K41" s="97"/>
      <c r="L41" s="97"/>
      <c r="M41" s="100"/>
      <c r="N41" s="48"/>
      <c r="O41" s="49"/>
      <c r="P41" s="68"/>
      <c r="Q41" s="68"/>
      <c r="S41" s="33"/>
      <c r="T41" s="33"/>
    </row>
    <row r="42" spans="1:22">
      <c r="A42" s="29"/>
      <c r="B42" s="30"/>
      <c r="C42" s="30"/>
      <c r="D42" s="30"/>
      <c r="E42" s="31"/>
      <c r="F42" s="31"/>
      <c r="G42" s="41"/>
      <c r="H42" s="32"/>
      <c r="I42" s="32"/>
      <c r="J42" s="32"/>
      <c r="K42" s="32"/>
      <c r="L42" s="40"/>
      <c r="M42" s="33"/>
      <c r="N42" s="32"/>
    </row>
    <row r="43" spans="1:22">
      <c r="A43" s="264" t="s">
        <v>18</v>
      </c>
      <c r="B43" s="264"/>
      <c r="C43" s="265"/>
      <c r="D43" s="265"/>
      <c r="E43" s="265"/>
      <c r="F43" s="265"/>
      <c r="G43" s="265"/>
      <c r="H43" s="265"/>
      <c r="N43" s="33"/>
      <c r="O43" s="32"/>
    </row>
    <row r="44" spans="1:22">
      <c r="A44" s="266" t="s">
        <v>17</v>
      </c>
      <c r="B44" s="266" t="s">
        <v>1</v>
      </c>
      <c r="C44" s="266" t="s">
        <v>2</v>
      </c>
      <c r="D44" s="266" t="s">
        <v>19</v>
      </c>
      <c r="E44" s="266" t="s">
        <v>20</v>
      </c>
      <c r="F44" s="266" t="s">
        <v>21</v>
      </c>
      <c r="G44" s="266" t="s">
        <v>22</v>
      </c>
      <c r="H44" s="266" t="s">
        <v>23</v>
      </c>
      <c r="N44" s="33"/>
      <c r="O44" s="32"/>
    </row>
    <row r="45" spans="1:22" ht="26.25" thickBot="1">
      <c r="A45" s="267" t="s">
        <v>209</v>
      </c>
      <c r="B45" s="267" t="s">
        <v>30</v>
      </c>
      <c r="C45" s="267" t="s">
        <v>31</v>
      </c>
      <c r="D45" s="267" t="s">
        <v>32</v>
      </c>
      <c r="E45" s="267" t="s">
        <v>33</v>
      </c>
      <c r="F45" s="267" t="s">
        <v>44</v>
      </c>
      <c r="G45" s="267" t="s">
        <v>43</v>
      </c>
      <c r="H45" s="267" t="s">
        <v>34</v>
      </c>
      <c r="K45" s="48"/>
      <c r="L45" s="48"/>
      <c r="M45" s="49"/>
      <c r="N45" s="32"/>
    </row>
    <row r="46" spans="1:22">
      <c r="A46" s="268" t="s">
        <v>273</v>
      </c>
      <c r="B46" s="269" t="s">
        <v>123</v>
      </c>
      <c r="C46" s="268" t="s">
        <v>146</v>
      </c>
      <c r="D46" s="270" t="s">
        <v>39</v>
      </c>
      <c r="E46" s="271" t="s">
        <v>211</v>
      </c>
      <c r="F46" s="270" t="s">
        <v>40</v>
      </c>
      <c r="G46" s="270" t="s">
        <v>84</v>
      </c>
      <c r="H46" s="272"/>
      <c r="I46" s="166"/>
      <c r="S46" s="30"/>
      <c r="T46" s="30"/>
    </row>
    <row r="47" spans="1:22">
      <c r="A47" s="265"/>
      <c r="B47" s="269" t="s">
        <v>126</v>
      </c>
      <c r="C47" s="268" t="s">
        <v>147</v>
      </c>
      <c r="D47" s="270" t="s">
        <v>39</v>
      </c>
      <c r="E47" s="271" t="s">
        <v>211</v>
      </c>
      <c r="F47" s="270" t="s">
        <v>40</v>
      </c>
      <c r="G47" s="270"/>
      <c r="H47" s="273"/>
      <c r="I47" s="30"/>
      <c r="K47" s="48"/>
    </row>
    <row r="48" spans="1:22" ht="15">
      <c r="A48" s="287"/>
      <c r="B48" s="269" t="s">
        <v>124</v>
      </c>
      <c r="C48" s="273" t="s">
        <v>148</v>
      </c>
      <c r="D48" s="270" t="s">
        <v>39</v>
      </c>
      <c r="E48" s="271" t="s">
        <v>211</v>
      </c>
      <c r="F48" s="270" t="s">
        <v>40</v>
      </c>
      <c r="G48" s="270"/>
      <c r="H48" s="273"/>
      <c r="I48" s="30"/>
      <c r="K48" s="48"/>
      <c r="L48" s="50"/>
      <c r="M48" s="49"/>
      <c r="N48" s="32"/>
      <c r="T48" s="20"/>
      <c r="U48" s="20"/>
      <c r="V48" s="20"/>
    </row>
    <row r="49" spans="1:25" ht="15">
      <c r="A49" s="288"/>
      <c r="B49" s="271" t="s">
        <v>125</v>
      </c>
      <c r="C49" s="271" t="s">
        <v>145</v>
      </c>
      <c r="D49" s="289" t="s">
        <v>39</v>
      </c>
      <c r="E49" s="271" t="s">
        <v>211</v>
      </c>
      <c r="F49" s="289" t="s">
        <v>40</v>
      </c>
      <c r="G49" s="289"/>
      <c r="H49" s="290"/>
      <c r="I49" s="67"/>
      <c r="K49" s="48"/>
      <c r="L49" s="50"/>
      <c r="M49" s="49"/>
      <c r="N49" s="32"/>
      <c r="T49" s="20"/>
      <c r="U49" s="20"/>
      <c r="V49" s="20"/>
    </row>
    <row r="50" spans="1:25" ht="15">
      <c r="A50" s="288"/>
      <c r="B50" s="271" t="s">
        <v>143</v>
      </c>
      <c r="C50" s="271" t="s">
        <v>149</v>
      </c>
      <c r="D50" s="289" t="s">
        <v>39</v>
      </c>
      <c r="E50" s="271" t="s">
        <v>211</v>
      </c>
      <c r="F50" s="289" t="s">
        <v>40</v>
      </c>
      <c r="G50" s="289"/>
      <c r="H50" s="290"/>
      <c r="I50" s="67"/>
      <c r="K50" s="48"/>
      <c r="L50" s="50"/>
      <c r="M50" s="49"/>
      <c r="N50" s="32"/>
      <c r="T50" s="20"/>
      <c r="U50" s="20"/>
      <c r="V50" s="20"/>
    </row>
    <row r="51" spans="1:25" ht="15">
      <c r="A51" s="291"/>
      <c r="B51" s="292" t="s">
        <v>144</v>
      </c>
      <c r="C51" s="293" t="s">
        <v>150</v>
      </c>
      <c r="D51" s="294" t="s">
        <v>39</v>
      </c>
      <c r="E51" s="292" t="s">
        <v>211</v>
      </c>
      <c r="F51" s="294" t="s">
        <v>40</v>
      </c>
      <c r="G51" s="294"/>
      <c r="H51" s="293"/>
      <c r="I51" s="67"/>
      <c r="K51" s="48"/>
      <c r="L51" s="50"/>
      <c r="M51" s="49"/>
      <c r="N51" s="32"/>
      <c r="T51" s="20"/>
      <c r="U51" s="20"/>
      <c r="V51" s="20"/>
    </row>
    <row r="52" spans="1:25" ht="15">
      <c r="A52" s="342" t="s">
        <v>358</v>
      </c>
      <c r="B52" s="269" t="s">
        <v>127</v>
      </c>
      <c r="C52" s="268" t="s">
        <v>130</v>
      </c>
      <c r="D52" s="270" t="s">
        <v>39</v>
      </c>
      <c r="E52" s="271" t="s">
        <v>211</v>
      </c>
      <c r="F52" s="270" t="s">
        <v>40</v>
      </c>
      <c r="G52" s="289" t="s">
        <v>84</v>
      </c>
      <c r="H52" s="290"/>
      <c r="I52" s="67"/>
      <c r="K52" s="48"/>
      <c r="L52" s="20"/>
      <c r="M52" s="20"/>
      <c r="N52" s="20"/>
      <c r="O52" s="20"/>
      <c r="P52" s="20"/>
      <c r="Q52" s="20"/>
      <c r="R52" s="20"/>
      <c r="S52" s="20"/>
      <c r="T52" s="20"/>
      <c r="U52" s="20"/>
    </row>
    <row r="53" spans="1:25" ht="15">
      <c r="A53" s="288"/>
      <c r="B53" s="269" t="s">
        <v>128</v>
      </c>
      <c r="C53" s="273" t="s">
        <v>131</v>
      </c>
      <c r="D53" s="270" t="s">
        <v>39</v>
      </c>
      <c r="E53" s="271" t="s">
        <v>211</v>
      </c>
      <c r="F53" s="270" t="s">
        <v>40</v>
      </c>
      <c r="G53" s="289"/>
      <c r="H53" s="290"/>
      <c r="I53" s="67"/>
      <c r="L53" s="20"/>
      <c r="M53" s="20"/>
      <c r="N53" s="20"/>
      <c r="O53" s="20"/>
      <c r="P53" s="20"/>
      <c r="Q53" s="20"/>
      <c r="R53" s="20"/>
      <c r="S53" s="20"/>
      <c r="T53" s="20"/>
      <c r="U53" s="20"/>
      <c r="Y53" s="20"/>
    </row>
    <row r="54" spans="1:25" ht="15">
      <c r="A54" s="288"/>
      <c r="B54" s="271" t="s">
        <v>129</v>
      </c>
      <c r="C54" s="271" t="s">
        <v>153</v>
      </c>
      <c r="D54" s="289" t="s">
        <v>39</v>
      </c>
      <c r="E54" s="271" t="s">
        <v>211</v>
      </c>
      <c r="F54" s="289" t="s">
        <v>40</v>
      </c>
      <c r="G54" s="289"/>
      <c r="H54" s="290"/>
      <c r="I54" s="67"/>
      <c r="L54" s="20"/>
      <c r="M54" s="20"/>
      <c r="N54" s="20"/>
      <c r="O54" s="20"/>
      <c r="P54" s="20"/>
      <c r="Q54" s="20"/>
      <c r="R54" s="20"/>
      <c r="S54" s="20"/>
      <c r="T54" s="20"/>
      <c r="U54" s="20"/>
      <c r="Y54" s="20"/>
    </row>
    <row r="55" spans="1:25" ht="15">
      <c r="A55" s="291"/>
      <c r="B55" s="292" t="s">
        <v>151</v>
      </c>
      <c r="C55" s="292" t="s">
        <v>152</v>
      </c>
      <c r="D55" s="294" t="s">
        <v>39</v>
      </c>
      <c r="E55" s="292" t="s">
        <v>211</v>
      </c>
      <c r="F55" s="294" t="s">
        <v>40</v>
      </c>
      <c r="G55" s="294"/>
      <c r="H55" s="293"/>
      <c r="I55" s="67"/>
      <c r="L55" s="20"/>
      <c r="M55" s="20"/>
      <c r="N55" s="20"/>
      <c r="O55" s="20"/>
      <c r="P55" s="20"/>
      <c r="Q55" s="20"/>
      <c r="R55" s="20"/>
      <c r="S55" s="20"/>
      <c r="T55" s="20"/>
      <c r="U55" s="20"/>
      <c r="Y55" s="20"/>
    </row>
    <row r="56" spans="1:25" ht="15">
      <c r="A56" s="268" t="s">
        <v>164</v>
      </c>
      <c r="B56" s="273" t="str">
        <f>"P_"&amp;B46</f>
        <v>P_ESTCAESS101</v>
      </c>
      <c r="C56" s="274" t="str">
        <f>C46&amp;" (accompanying tech to represent power)"</f>
        <v>Diabatic CAES ELC Storage: DayNite (accompanying tech to represent power)</v>
      </c>
      <c r="D56" s="270" t="s">
        <v>39</v>
      </c>
      <c r="E56" s="273" t="s">
        <v>71</v>
      </c>
      <c r="F56" s="270" t="s">
        <v>40</v>
      </c>
      <c r="G56" s="265"/>
      <c r="H56" s="265"/>
      <c r="J56" s="35"/>
      <c r="L56" s="20"/>
      <c r="M56" s="20"/>
      <c r="N56" s="20"/>
      <c r="O56" s="20"/>
      <c r="P56" s="20"/>
      <c r="Q56" s="20"/>
      <c r="R56" s="20"/>
      <c r="S56" s="20"/>
      <c r="T56" s="20"/>
      <c r="U56" s="20"/>
      <c r="Y56" s="20"/>
    </row>
    <row r="57" spans="1:25" ht="15">
      <c r="A57" s="265"/>
      <c r="B57" s="273" t="str">
        <f t="shared" ref="B57:B63" si="6">"P_"&amp;B47</f>
        <v>P_ESTCAESS102</v>
      </c>
      <c r="C57" s="274" t="str">
        <f t="shared" ref="C57:C63" si="7">C47&amp;" (accompanying tech to represent power)"</f>
        <v>Adiabatic CAES ELC Storage: DayNite (accompanying tech to represent power)</v>
      </c>
      <c r="D57" s="270" t="s">
        <v>39</v>
      </c>
      <c r="E57" s="273" t="s">
        <v>71</v>
      </c>
      <c r="F57" s="270" t="s">
        <v>40</v>
      </c>
      <c r="G57" s="270"/>
      <c r="H57" s="273"/>
      <c r="N57" s="20"/>
      <c r="O57" s="20"/>
      <c r="P57" s="20"/>
      <c r="Q57" s="20"/>
      <c r="R57" s="20"/>
      <c r="S57" s="20"/>
      <c r="T57" s="20"/>
      <c r="U57" s="20"/>
      <c r="Y57" s="20"/>
    </row>
    <row r="58" spans="1:25" ht="15">
      <c r="A58" s="288"/>
      <c r="B58" s="290" t="str">
        <f t="shared" si="6"/>
        <v>P_ESTHYDPS101</v>
      </c>
      <c r="C58" s="295" t="str">
        <f t="shared" si="7"/>
        <v>Pumped Hydro ELC Storage: DayNite (accompanying tech to represent power)</v>
      </c>
      <c r="D58" s="289" t="s">
        <v>39</v>
      </c>
      <c r="E58" s="290" t="s">
        <v>71</v>
      </c>
      <c r="F58" s="289" t="s">
        <v>40</v>
      </c>
      <c r="G58" s="289"/>
      <c r="H58" s="290"/>
      <c r="L58" s="20"/>
      <c r="M58" s="20"/>
      <c r="N58" s="20"/>
      <c r="O58" s="20"/>
      <c r="P58" s="20"/>
      <c r="Q58" s="20"/>
      <c r="R58" s="20"/>
      <c r="S58" s="20"/>
      <c r="T58" s="20"/>
      <c r="U58" s="20"/>
      <c r="Y58" s="20"/>
    </row>
    <row r="59" spans="1:25" ht="15">
      <c r="A59" s="288"/>
      <c r="B59" s="296" t="str">
        <f t="shared" si="6"/>
        <v>P_ESTBATS101</v>
      </c>
      <c r="C59" s="296" t="str">
        <f t="shared" si="7"/>
        <v>Battery (Lead-acid) Bulk ELC Storage: DayNite (accompanying tech to represent power)</v>
      </c>
      <c r="D59" s="289" t="s">
        <v>39</v>
      </c>
      <c r="E59" s="290" t="s">
        <v>71</v>
      </c>
      <c r="F59" s="289" t="s">
        <v>40</v>
      </c>
      <c r="G59" s="289"/>
      <c r="H59" s="290"/>
      <c r="L59" s="20"/>
      <c r="M59" s="20"/>
      <c r="N59" s="20"/>
      <c r="O59" s="20"/>
      <c r="P59" s="20"/>
      <c r="Q59" s="20"/>
      <c r="R59" s="20"/>
      <c r="S59" s="20"/>
      <c r="T59" s="20"/>
      <c r="U59" s="20"/>
      <c r="Y59" s="20"/>
    </row>
    <row r="60" spans="1:25" ht="15">
      <c r="A60" s="288"/>
      <c r="B60" s="296" t="str">
        <f t="shared" si="6"/>
        <v>P_ESTBATS102</v>
      </c>
      <c r="C60" s="296" t="str">
        <f t="shared" si="7"/>
        <v>Battery (Li-ion) Bulk ELC Storage: DayNite (accompanying tech to represent power)</v>
      </c>
      <c r="D60" s="289" t="s">
        <v>39</v>
      </c>
      <c r="E60" s="290" t="s">
        <v>71</v>
      </c>
      <c r="F60" s="289" t="s">
        <v>40</v>
      </c>
      <c r="G60" s="289"/>
      <c r="H60" s="290"/>
      <c r="L60" s="20"/>
      <c r="M60" s="20"/>
      <c r="N60" s="20"/>
      <c r="O60" s="20"/>
      <c r="P60" s="20"/>
      <c r="Q60" s="20"/>
      <c r="R60" s="20"/>
      <c r="S60" s="20"/>
      <c r="T60" s="20"/>
      <c r="U60" s="20"/>
      <c r="Y60" s="20"/>
    </row>
    <row r="61" spans="1:25" ht="15">
      <c r="A61" s="288"/>
      <c r="B61" s="296" t="str">
        <f t="shared" si="6"/>
        <v>P_ESTBATS103</v>
      </c>
      <c r="C61" s="296" t="str">
        <f t="shared" si="7"/>
        <v>Battery (NaS) Bulk ELC Storage: DayNite (accompanying tech to represent power)</v>
      </c>
      <c r="D61" s="289" t="s">
        <v>39</v>
      </c>
      <c r="E61" s="290" t="s">
        <v>71</v>
      </c>
      <c r="F61" s="289" t="s">
        <v>40</v>
      </c>
      <c r="G61" s="289"/>
      <c r="H61" s="290"/>
      <c r="L61" s="20"/>
      <c r="M61" s="20"/>
      <c r="N61" s="20"/>
      <c r="O61" s="20"/>
      <c r="P61" s="20"/>
      <c r="Q61" s="20"/>
      <c r="R61" s="20"/>
      <c r="S61" s="20"/>
      <c r="T61" s="20"/>
      <c r="U61" s="20"/>
      <c r="Y61" s="20"/>
    </row>
    <row r="62" spans="1:25" ht="15">
      <c r="A62" s="288"/>
      <c r="B62" s="273" t="str">
        <f t="shared" si="6"/>
        <v>P_ESTCAESS201</v>
      </c>
      <c r="C62" s="274" t="str">
        <f t="shared" si="7"/>
        <v>Diabatic CAES ELC Storage: DayNite/Seasonal (accompanying tech to represent power)</v>
      </c>
      <c r="D62" s="270" t="s">
        <v>39</v>
      </c>
      <c r="E62" s="273" t="s">
        <v>71</v>
      </c>
      <c r="F62" s="270" t="s">
        <v>40</v>
      </c>
      <c r="G62" s="289"/>
      <c r="H62" s="290"/>
      <c r="L62" s="20"/>
      <c r="M62" s="20"/>
      <c r="N62" s="20"/>
      <c r="O62" s="20"/>
      <c r="P62" s="20"/>
      <c r="Q62" s="20"/>
      <c r="R62" s="20"/>
      <c r="S62" s="20"/>
      <c r="T62" s="20"/>
      <c r="U62" s="20"/>
      <c r="Y62" s="20"/>
    </row>
    <row r="63" spans="1:25" ht="15">
      <c r="A63" s="288"/>
      <c r="B63" s="290" t="str">
        <f t="shared" si="6"/>
        <v>P_ESTHYDPS201</v>
      </c>
      <c r="C63" s="295" t="str">
        <f t="shared" si="7"/>
        <v>Pumped Hydro ELC Storage: DayNite/Seasonal (accompanying tech to represent power)</v>
      </c>
      <c r="D63" s="289" t="s">
        <v>39</v>
      </c>
      <c r="E63" s="290" t="s">
        <v>71</v>
      </c>
      <c r="F63" s="289" t="s">
        <v>40</v>
      </c>
      <c r="G63" s="289"/>
      <c r="H63" s="290"/>
      <c r="L63" s="20"/>
      <c r="M63" s="20"/>
      <c r="N63" s="20"/>
      <c r="O63" s="20"/>
      <c r="P63" s="20"/>
      <c r="Q63" s="20"/>
      <c r="R63" s="20"/>
      <c r="S63" s="20"/>
      <c r="T63" s="20"/>
      <c r="U63" s="20"/>
      <c r="Y63" s="20"/>
    </row>
    <row r="64" spans="1:25" ht="15">
      <c r="A64" s="288"/>
      <c r="B64" s="296" t="str">
        <f>"P_"&amp;B54</f>
        <v>P_ESTBATS201</v>
      </c>
      <c r="C64" s="296" t="str">
        <f>C54&amp;" (accompanying tech to represent power)"</f>
        <v>Battery (Lead-acid) Bulk ELC Storage: DayNite/Seasonal (accompanying tech to represent power)</v>
      </c>
      <c r="D64" s="289" t="s">
        <v>39</v>
      </c>
      <c r="E64" s="290" t="s">
        <v>71</v>
      </c>
      <c r="F64" s="289" t="s">
        <v>40</v>
      </c>
      <c r="G64" s="289"/>
      <c r="H64" s="290"/>
      <c r="V64" s="20"/>
      <c r="Y64" s="20"/>
    </row>
    <row r="65" spans="1:25" ht="15">
      <c r="A65" s="291"/>
      <c r="B65" s="297" t="str">
        <f>"P_"&amp;B55</f>
        <v>P_ESTBATS202</v>
      </c>
      <c r="C65" s="297" t="str">
        <f>C55&amp;" (accompanying tech to represent power)"</f>
        <v>Battery (Li-ion) Bulk ELC Storage: DayNite/Seasonal (accompanying tech to represent power)</v>
      </c>
      <c r="D65" s="294" t="s">
        <v>39</v>
      </c>
      <c r="E65" s="293" t="s">
        <v>71</v>
      </c>
      <c r="F65" s="294" t="s">
        <v>40</v>
      </c>
      <c r="G65" s="294"/>
      <c r="H65" s="293"/>
      <c r="V65" s="20"/>
      <c r="Y65" s="20"/>
    </row>
    <row r="66" spans="1:25" ht="15">
      <c r="A66" s="275" t="s">
        <v>164</v>
      </c>
      <c r="B66" s="275" t="s">
        <v>276</v>
      </c>
      <c r="C66" s="275" t="s">
        <v>277</v>
      </c>
      <c r="D66" s="276" t="s">
        <v>39</v>
      </c>
      <c r="E66" s="275" t="s">
        <v>211</v>
      </c>
      <c r="F66" s="276" t="s">
        <v>40</v>
      </c>
      <c r="G66" s="277"/>
      <c r="H66" s="277"/>
      <c r="V66" s="20"/>
    </row>
    <row r="67" spans="1:25" ht="15">
      <c r="A67" s="271" t="s">
        <v>106</v>
      </c>
      <c r="B67" s="265" t="s">
        <v>270</v>
      </c>
      <c r="C67" s="265" t="s">
        <v>271</v>
      </c>
      <c r="D67" s="289" t="s">
        <v>39</v>
      </c>
      <c r="E67" s="265"/>
      <c r="F67" s="289" t="s">
        <v>40</v>
      </c>
      <c r="G67" s="265"/>
      <c r="H67" s="265"/>
      <c r="V67" s="20"/>
    </row>
    <row r="68" spans="1:25" ht="15">
      <c r="A68" s="269"/>
      <c r="B68" s="311"/>
      <c r="C68" s="311"/>
      <c r="D68" s="269"/>
      <c r="E68" s="269"/>
      <c r="F68" s="269"/>
      <c r="G68" s="270"/>
      <c r="H68" s="273"/>
      <c r="I68" s="30"/>
      <c r="V68" s="20"/>
    </row>
    <row r="69" spans="1:25" ht="15">
      <c r="A69" s="269"/>
      <c r="B69" s="311"/>
      <c r="C69" s="311"/>
      <c r="D69" s="269"/>
      <c r="E69" s="269"/>
      <c r="F69" s="269"/>
      <c r="G69" s="270"/>
      <c r="H69" s="273"/>
      <c r="I69" s="30"/>
      <c r="V69" s="20"/>
    </row>
    <row r="70" spans="1:25" ht="15">
      <c r="A70" s="30"/>
      <c r="B70" s="52"/>
      <c r="C70" s="25"/>
      <c r="D70" s="30"/>
      <c r="E70" s="30"/>
      <c r="F70" s="30"/>
      <c r="G70" s="29"/>
      <c r="H70" s="30"/>
      <c r="I70" s="30"/>
      <c r="V70" s="20"/>
    </row>
    <row r="71" spans="1:25" ht="15">
      <c r="A71" s="264" t="s">
        <v>8</v>
      </c>
      <c r="B71" s="278"/>
      <c r="C71" s="278"/>
      <c r="D71" s="278"/>
      <c r="E71" s="278"/>
      <c r="F71" s="278"/>
      <c r="G71" s="278"/>
      <c r="H71" s="278"/>
      <c r="I71" s="30"/>
      <c r="V71" s="20"/>
    </row>
    <row r="72" spans="1:25" ht="15">
      <c r="A72" s="279" t="s">
        <v>9</v>
      </c>
      <c r="B72" s="279" t="s">
        <v>7</v>
      </c>
      <c r="C72" s="279" t="s">
        <v>10</v>
      </c>
      <c r="D72" s="280" t="s">
        <v>11</v>
      </c>
      <c r="E72" s="280" t="s">
        <v>12</v>
      </c>
      <c r="F72" s="280" t="s">
        <v>13</v>
      </c>
      <c r="G72" s="280" t="s">
        <v>14</v>
      </c>
      <c r="H72" s="280" t="s">
        <v>15</v>
      </c>
      <c r="I72" s="30"/>
      <c r="V72" s="20"/>
    </row>
    <row r="73" spans="1:25" ht="26.25" thickBot="1">
      <c r="A73" s="281" t="s">
        <v>208</v>
      </c>
      <c r="B73" s="281" t="s">
        <v>24</v>
      </c>
      <c r="C73" s="281" t="s">
        <v>25</v>
      </c>
      <c r="D73" s="281" t="s">
        <v>11</v>
      </c>
      <c r="E73" s="281" t="s">
        <v>26</v>
      </c>
      <c r="F73" s="281" t="s">
        <v>27</v>
      </c>
      <c r="G73" s="281" t="s">
        <v>28</v>
      </c>
      <c r="H73" s="281" t="s">
        <v>29</v>
      </c>
      <c r="I73" s="30"/>
      <c r="L73" s="30"/>
      <c r="M73" s="51"/>
      <c r="N73" s="30"/>
      <c r="O73" s="29"/>
      <c r="P73" s="30"/>
      <c r="V73" s="20"/>
    </row>
    <row r="74" spans="1:25" ht="15">
      <c r="A74" s="269" t="s">
        <v>352</v>
      </c>
      <c r="B74" s="273" t="str">
        <f t="shared" ref="B74:B80" si="8">"AUX_"&amp;B46</f>
        <v>AUX_ESTCAESS101</v>
      </c>
      <c r="C74" s="269" t="str">
        <f t="shared" ref="C74:C80" si="9">"Auxiliary input for "&amp;C46</f>
        <v>Auxiliary input for Diabatic CAES ELC Storage: DayNite</v>
      </c>
      <c r="D74" s="269" t="s">
        <v>39</v>
      </c>
      <c r="E74" s="271" t="s">
        <v>336</v>
      </c>
      <c r="F74" s="269" t="s">
        <v>40</v>
      </c>
      <c r="G74" s="273"/>
      <c r="H74" s="273"/>
      <c r="I74" s="30"/>
      <c r="L74" s="30"/>
      <c r="M74" s="51"/>
      <c r="N74" s="30"/>
      <c r="O74" s="29"/>
      <c r="P74" s="30"/>
      <c r="V74" s="20"/>
    </row>
    <row r="75" spans="1:25" ht="15">
      <c r="A75" s="265"/>
      <c r="B75" s="273" t="str">
        <f t="shared" si="8"/>
        <v>AUX_ESTCAESS102</v>
      </c>
      <c r="C75" s="269" t="str">
        <f t="shared" si="9"/>
        <v>Auxiliary input for Adiabatic CAES ELC Storage: DayNite</v>
      </c>
      <c r="D75" s="273" t="s">
        <v>39</v>
      </c>
      <c r="E75" s="271" t="s">
        <v>336</v>
      </c>
      <c r="F75" s="273" t="s">
        <v>40</v>
      </c>
      <c r="G75" s="273"/>
      <c r="H75" s="273"/>
      <c r="I75" s="30"/>
      <c r="L75" s="29"/>
      <c r="M75" s="29"/>
      <c r="N75" s="29"/>
      <c r="O75" s="29"/>
      <c r="P75" s="29"/>
      <c r="V75" s="20"/>
    </row>
    <row r="76" spans="1:25" ht="15">
      <c r="A76" s="269"/>
      <c r="B76" s="273" t="str">
        <f t="shared" si="8"/>
        <v>AUX_ESTHYDPS101</v>
      </c>
      <c r="C76" s="269" t="str">
        <f t="shared" si="9"/>
        <v>Auxiliary input for Pumped Hydro ELC Storage: DayNite</v>
      </c>
      <c r="D76" s="273" t="s">
        <v>39</v>
      </c>
      <c r="E76" s="271" t="s">
        <v>336</v>
      </c>
      <c r="F76" s="273" t="s">
        <v>40</v>
      </c>
      <c r="G76" s="273"/>
      <c r="H76" s="273"/>
      <c r="I76" s="30"/>
      <c r="L76" s="29"/>
      <c r="M76" s="29"/>
      <c r="N76" s="29"/>
      <c r="O76" s="29"/>
      <c r="P76" s="29"/>
      <c r="V76" s="20"/>
    </row>
    <row r="77" spans="1:25" ht="15">
      <c r="A77" s="269"/>
      <c r="B77" s="273" t="str">
        <f t="shared" si="8"/>
        <v>AUX_ESTBATS101</v>
      </c>
      <c r="C77" s="269" t="str">
        <f t="shared" si="9"/>
        <v>Auxiliary input for Battery (Lead-acid) Bulk ELC Storage: DayNite</v>
      </c>
      <c r="D77" s="273" t="s">
        <v>39</v>
      </c>
      <c r="E77" s="271" t="s">
        <v>336</v>
      </c>
      <c r="F77" s="273" t="s">
        <v>40</v>
      </c>
      <c r="G77" s="273"/>
      <c r="H77" s="273"/>
      <c r="L77" s="29"/>
      <c r="M77" s="29"/>
      <c r="N77" s="29"/>
      <c r="O77" s="29"/>
      <c r="P77" s="29"/>
      <c r="V77" s="20"/>
    </row>
    <row r="78" spans="1:25" ht="15">
      <c r="A78" s="269"/>
      <c r="B78" s="273" t="str">
        <f t="shared" si="8"/>
        <v>AUX_ESTBATS102</v>
      </c>
      <c r="C78" s="269" t="str">
        <f t="shared" si="9"/>
        <v>Auxiliary input for Battery (Li-ion) Bulk ELC Storage: DayNite</v>
      </c>
      <c r="D78" s="273" t="s">
        <v>39</v>
      </c>
      <c r="E78" s="271" t="s">
        <v>336</v>
      </c>
      <c r="F78" s="273" t="s">
        <v>40</v>
      </c>
      <c r="G78" s="273"/>
      <c r="H78" s="273"/>
      <c r="L78" s="29"/>
      <c r="M78" s="29"/>
      <c r="N78" s="29"/>
      <c r="O78" s="29"/>
      <c r="P78" s="29"/>
      <c r="V78" s="20"/>
    </row>
    <row r="79" spans="1:25" ht="15">
      <c r="A79" s="269"/>
      <c r="B79" s="273" t="str">
        <f t="shared" si="8"/>
        <v>AUX_ESTBATS103</v>
      </c>
      <c r="C79" s="269" t="str">
        <f t="shared" si="9"/>
        <v>Auxiliary input for Battery (NaS) Bulk ELC Storage: DayNite</v>
      </c>
      <c r="D79" s="273" t="s">
        <v>39</v>
      </c>
      <c r="E79" s="271" t="s">
        <v>336</v>
      </c>
      <c r="F79" s="273" t="s">
        <v>40</v>
      </c>
      <c r="G79" s="273"/>
      <c r="H79" s="273"/>
      <c r="L79" s="30"/>
      <c r="M79" s="51"/>
      <c r="N79" s="30"/>
      <c r="O79" s="29"/>
      <c r="P79" s="30"/>
      <c r="Q79" s="20"/>
      <c r="R79" s="20"/>
      <c r="S79" s="20"/>
      <c r="T79" s="20"/>
      <c r="U79" s="20"/>
      <c r="V79" s="20"/>
    </row>
    <row r="80" spans="1:25" ht="15">
      <c r="A80" s="269"/>
      <c r="B80" s="273" t="str">
        <f t="shared" si="8"/>
        <v>AUX_ESTCAESS201</v>
      </c>
      <c r="C80" s="269" t="str">
        <f t="shared" si="9"/>
        <v>Auxiliary input for Diabatic CAES ELC Storage: DayNite/Seasonal</v>
      </c>
      <c r="D80" s="273" t="s">
        <v>39</v>
      </c>
      <c r="E80" s="271" t="s">
        <v>336</v>
      </c>
      <c r="F80" s="273" t="s">
        <v>40</v>
      </c>
      <c r="G80" s="273"/>
      <c r="H80" s="273"/>
      <c r="L80" s="30"/>
      <c r="M80" s="51"/>
      <c r="N80" s="30"/>
      <c r="O80" s="29"/>
      <c r="P80" s="30"/>
      <c r="Q80" s="20"/>
      <c r="R80" s="20"/>
      <c r="S80" s="20"/>
      <c r="T80" s="20"/>
      <c r="U80" s="20"/>
      <c r="V80" s="20"/>
    </row>
    <row r="81" spans="1:19" ht="15">
      <c r="A81" s="269"/>
      <c r="B81" s="273" t="str">
        <f>"AUX_"&amp;B53</f>
        <v>AUX_ESTHYDPS201</v>
      </c>
      <c r="C81" s="269" t="str">
        <f>"Auxiliary input for "&amp;C53</f>
        <v>Auxiliary input for Pumped Hydro ELC Storage: DayNite/Seasonal</v>
      </c>
      <c r="D81" s="273" t="s">
        <v>39</v>
      </c>
      <c r="E81" s="271" t="s">
        <v>336</v>
      </c>
      <c r="F81" s="273" t="s">
        <v>40</v>
      </c>
      <c r="G81" s="273"/>
      <c r="H81" s="273"/>
      <c r="L81" s="20"/>
      <c r="M81" s="20"/>
      <c r="N81" s="20"/>
      <c r="O81" s="20"/>
      <c r="P81" s="20"/>
      <c r="Q81" s="20"/>
      <c r="R81" s="20"/>
      <c r="S81" s="20"/>
    </row>
    <row r="82" spans="1:19" ht="15">
      <c r="A82" s="269"/>
      <c r="B82" s="273" t="str">
        <f>"AUX_"&amp;B54</f>
        <v>AUX_ESTBATS201</v>
      </c>
      <c r="C82" s="269" t="str">
        <f>"Auxiliary input for "&amp;C54</f>
        <v>Auxiliary input for Battery (Lead-acid) Bulk ELC Storage: DayNite/Seasonal</v>
      </c>
      <c r="D82" s="273" t="s">
        <v>39</v>
      </c>
      <c r="E82" s="271" t="s">
        <v>336</v>
      </c>
      <c r="F82" s="273" t="s">
        <v>40</v>
      </c>
      <c r="G82" s="273"/>
      <c r="H82" s="273"/>
      <c r="L82" s="20"/>
      <c r="M82" s="20"/>
      <c r="N82" s="20"/>
      <c r="O82" s="20"/>
      <c r="P82" s="20"/>
      <c r="Q82" s="20"/>
      <c r="R82" s="20"/>
      <c r="S82" s="20"/>
    </row>
    <row r="83" spans="1:19" ht="15">
      <c r="A83" s="305"/>
      <c r="B83" s="290" t="str">
        <f>"AUX_"&amp;B55</f>
        <v>AUX_ESTBATS202</v>
      </c>
      <c r="C83" s="271" t="str">
        <f>"Auxiliary input for "&amp;C55</f>
        <v>Auxiliary input for Battery (Li-ion) Bulk ELC Storage: DayNite/Seasonal</v>
      </c>
      <c r="D83" s="290" t="s">
        <v>39</v>
      </c>
      <c r="E83" s="271" t="s">
        <v>336</v>
      </c>
      <c r="F83" s="290" t="s">
        <v>40</v>
      </c>
      <c r="G83" s="305"/>
      <c r="H83" s="305"/>
      <c r="L83" s="20"/>
      <c r="M83" s="20"/>
      <c r="N83" s="20"/>
      <c r="O83" s="20"/>
      <c r="P83" s="20"/>
      <c r="Q83" s="20"/>
      <c r="R83" s="20"/>
      <c r="S83" s="20"/>
    </row>
    <row r="84" spans="1:19" ht="15">
      <c r="A84" s="305" t="s">
        <v>84</v>
      </c>
      <c r="B84" s="271" t="s">
        <v>379</v>
      </c>
      <c r="C84" s="271" t="s">
        <v>380</v>
      </c>
      <c r="D84" s="271" t="s">
        <v>39</v>
      </c>
      <c r="E84" s="271" t="s">
        <v>336</v>
      </c>
      <c r="F84" s="271" t="s">
        <v>40</v>
      </c>
      <c r="G84" s="305"/>
      <c r="H84" s="305"/>
      <c r="L84" s="20"/>
      <c r="M84" s="20"/>
      <c r="N84" s="20"/>
      <c r="O84" s="20"/>
      <c r="P84" s="20"/>
      <c r="Q84" s="20"/>
      <c r="R84" s="20"/>
      <c r="S84" s="20"/>
    </row>
    <row r="85" spans="1:19" ht="15">
      <c r="A85" s="344" t="s">
        <v>84</v>
      </c>
      <c r="B85" s="344" t="s">
        <v>270</v>
      </c>
      <c r="C85" s="344" t="s">
        <v>272</v>
      </c>
      <c r="D85" s="344" t="s">
        <v>39</v>
      </c>
      <c r="E85" s="344"/>
      <c r="F85" s="344" t="s">
        <v>40</v>
      </c>
      <c r="G85" s="344"/>
      <c r="H85" s="344"/>
      <c r="L85" s="20"/>
      <c r="M85" s="20"/>
      <c r="N85" s="20"/>
      <c r="O85" s="20"/>
      <c r="P85" s="20"/>
      <c r="Q85" s="20"/>
      <c r="R85" s="20"/>
      <c r="S85" s="20"/>
    </row>
    <row r="86" spans="1:19" ht="15">
      <c r="A86" s="286"/>
      <c r="B86" s="285" t="s">
        <v>276</v>
      </c>
      <c r="C86" s="285" t="s">
        <v>278</v>
      </c>
      <c r="D86" s="285" t="s">
        <v>39</v>
      </c>
      <c r="E86" s="286"/>
      <c r="F86" s="285" t="s">
        <v>40</v>
      </c>
      <c r="G86" s="286"/>
      <c r="H86" s="286"/>
      <c r="L86" s="20"/>
      <c r="M86" s="20"/>
      <c r="N86" s="20"/>
      <c r="O86" s="20"/>
      <c r="P86" s="20"/>
      <c r="Q86" s="20"/>
      <c r="R86" s="20"/>
      <c r="S86" s="20"/>
    </row>
    <row r="87" spans="1:19" ht="15">
      <c r="A87" s="265"/>
      <c r="B87" s="265"/>
      <c r="C87" s="265"/>
      <c r="D87" s="265"/>
      <c r="E87" s="265"/>
      <c r="F87" s="265"/>
      <c r="G87" s="265"/>
      <c r="H87" s="265"/>
      <c r="L87" s="20"/>
      <c r="M87" s="20"/>
      <c r="N87" s="20"/>
      <c r="O87" s="20"/>
      <c r="P87" s="20"/>
      <c r="Q87" s="20"/>
      <c r="R87" s="20"/>
      <c r="S87" s="20"/>
    </row>
    <row r="99" spans="1:19">
      <c r="A99" s="51"/>
      <c r="E99" s="29"/>
      <c r="F99" s="30"/>
      <c r="G99" s="30"/>
      <c r="H99" s="30"/>
      <c r="I99" s="30"/>
    </row>
    <row r="100" spans="1:19">
      <c r="A100" s="30"/>
      <c r="B100" s="30"/>
      <c r="C100" s="30"/>
      <c r="D100" s="30"/>
      <c r="E100" s="29"/>
      <c r="F100" s="30"/>
      <c r="G100" s="30"/>
      <c r="H100" s="30"/>
      <c r="I100" s="30"/>
    </row>
    <row r="107" spans="1:19" s="42" customFormat="1">
      <c r="A107" s="19"/>
      <c r="B107" s="19"/>
      <c r="C107" s="19"/>
      <c r="D107" s="19"/>
      <c r="E107" s="19"/>
      <c r="F107" s="19"/>
      <c r="G107" s="19"/>
      <c r="H107" s="19"/>
      <c r="I107" s="19"/>
      <c r="J107" s="19"/>
      <c r="K107" s="19"/>
      <c r="L107" s="19"/>
      <c r="M107" s="19"/>
      <c r="N107" s="19"/>
      <c r="O107" s="19"/>
      <c r="P107" s="19"/>
      <c r="Q107" s="19"/>
      <c r="R107" s="19"/>
      <c r="S107" s="19"/>
    </row>
    <row r="108" spans="1:19" s="43" customFormat="1" ht="15" customHeight="1">
      <c r="A108" s="19"/>
      <c r="B108" s="19"/>
      <c r="C108" s="19"/>
      <c r="D108" s="19"/>
      <c r="E108" s="19"/>
      <c r="F108" s="19"/>
      <c r="G108" s="19"/>
      <c r="H108" s="19"/>
      <c r="I108" s="19"/>
      <c r="J108" s="19"/>
      <c r="K108" s="19"/>
      <c r="L108" s="19"/>
      <c r="M108" s="19"/>
      <c r="N108" s="19"/>
      <c r="O108" s="19"/>
      <c r="P108" s="19"/>
      <c r="Q108" s="19"/>
      <c r="R108" s="19"/>
      <c r="S108" s="19"/>
    </row>
    <row r="109" spans="1:19" s="44" customFormat="1">
      <c r="A109" s="19"/>
      <c r="B109" s="19"/>
      <c r="C109" s="19"/>
      <c r="D109" s="19"/>
      <c r="E109" s="19"/>
      <c r="F109" s="19"/>
      <c r="G109" s="19"/>
      <c r="H109" s="19"/>
      <c r="I109" s="19"/>
      <c r="J109" s="19"/>
      <c r="K109" s="19"/>
      <c r="L109" s="19"/>
      <c r="M109" s="19"/>
      <c r="N109" s="19"/>
      <c r="O109" s="19"/>
      <c r="P109" s="19"/>
      <c r="Q109" s="19"/>
      <c r="R109" s="19"/>
      <c r="S109" s="19"/>
    </row>
    <row r="110" spans="1:19" s="44" customFormat="1">
      <c r="A110" s="19"/>
      <c r="B110" s="19"/>
      <c r="C110" s="19"/>
      <c r="D110" s="19"/>
      <c r="E110" s="19"/>
      <c r="F110" s="19"/>
      <c r="G110" s="19"/>
      <c r="H110" s="19"/>
      <c r="I110" s="19"/>
      <c r="J110" s="19"/>
      <c r="K110" s="19"/>
      <c r="L110" s="19"/>
      <c r="M110" s="19"/>
      <c r="N110" s="19"/>
      <c r="O110" s="19"/>
      <c r="P110" s="19"/>
      <c r="Q110" s="19"/>
      <c r="R110" s="19"/>
      <c r="S110" s="19"/>
    </row>
    <row r="113" spans="1:19">
      <c r="L113" s="42"/>
      <c r="M113" s="42"/>
      <c r="N113" s="42"/>
      <c r="O113" s="42"/>
      <c r="P113" s="42"/>
      <c r="Q113" s="42"/>
      <c r="R113" s="42"/>
      <c r="S113" s="42"/>
    </row>
    <row r="114" spans="1:19">
      <c r="L114" s="43"/>
      <c r="M114" s="43"/>
      <c r="N114" s="43"/>
      <c r="O114" s="43"/>
      <c r="P114" s="43"/>
      <c r="Q114" s="43"/>
      <c r="R114" s="43"/>
      <c r="S114" s="43"/>
    </row>
    <row r="115" spans="1:19">
      <c r="K115" s="42"/>
      <c r="L115" s="44"/>
      <c r="M115" s="44"/>
      <c r="N115" s="44"/>
      <c r="O115" s="44"/>
      <c r="P115" s="44"/>
      <c r="Q115" s="44"/>
      <c r="R115" s="44"/>
      <c r="S115" s="44"/>
    </row>
    <row r="116" spans="1:19">
      <c r="A116" s="44"/>
      <c r="B116" s="44"/>
      <c r="C116" s="44"/>
      <c r="D116" s="44"/>
      <c r="E116" s="44"/>
      <c r="F116" s="44"/>
      <c r="G116" s="44"/>
      <c r="H116" s="44"/>
      <c r="I116" s="44"/>
      <c r="J116" s="44"/>
      <c r="K116" s="43"/>
      <c r="L116" s="44"/>
      <c r="M116" s="44"/>
      <c r="N116" s="44"/>
      <c r="O116" s="44"/>
      <c r="P116" s="44"/>
      <c r="Q116" s="44"/>
      <c r="R116" s="44"/>
      <c r="S116" s="44"/>
    </row>
    <row r="117" spans="1:19">
      <c r="K117" s="44"/>
    </row>
    <row r="118" spans="1:19">
      <c r="K118"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zoomScaleNormal="100" workbookViewId="0">
      <selection activeCell="I7" sqref="I7:I11"/>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15" ht="23.25">
      <c r="A1" s="22" t="s">
        <v>92</v>
      </c>
    </row>
    <row r="3" spans="1:15">
      <c r="E3" s="26" t="s">
        <v>93</v>
      </c>
      <c r="G3" s="24"/>
      <c r="H3" s="24"/>
    </row>
    <row r="4" spans="1:15" ht="25.5">
      <c r="A4" s="1" t="s">
        <v>1</v>
      </c>
      <c r="B4" s="1" t="s">
        <v>3</v>
      </c>
      <c r="C4" s="1" t="s">
        <v>75</v>
      </c>
      <c r="D4" s="1" t="s">
        <v>4</v>
      </c>
      <c r="E4" s="1" t="s">
        <v>381</v>
      </c>
      <c r="F4" s="21" t="s">
        <v>16</v>
      </c>
      <c r="G4" s="21" t="s">
        <v>79</v>
      </c>
      <c r="H4" s="21" t="s">
        <v>78</v>
      </c>
      <c r="I4" s="21" t="s">
        <v>49</v>
      </c>
      <c r="J4" s="56" t="s">
        <v>349</v>
      </c>
      <c r="K4" s="56" t="s">
        <v>269</v>
      </c>
      <c r="L4" s="21" t="s">
        <v>77</v>
      </c>
      <c r="M4" s="56" t="s">
        <v>350</v>
      </c>
      <c r="N4" s="56" t="s">
        <v>351</v>
      </c>
      <c r="O4" s="21" t="s">
        <v>72</v>
      </c>
    </row>
    <row r="5" spans="1:15" ht="39" thickBot="1">
      <c r="A5" s="27" t="s">
        <v>42</v>
      </c>
      <c r="B5" s="27" t="s">
        <v>35</v>
      </c>
      <c r="C5" s="27" t="s">
        <v>85</v>
      </c>
      <c r="D5" s="27" t="s">
        <v>36</v>
      </c>
      <c r="E5" s="27" t="s">
        <v>382</v>
      </c>
      <c r="F5" s="28"/>
      <c r="G5" s="28" t="s">
        <v>81</v>
      </c>
      <c r="H5" s="28" t="s">
        <v>83</v>
      </c>
      <c r="I5" s="28"/>
      <c r="J5" s="28" t="s">
        <v>335</v>
      </c>
      <c r="K5" s="28" t="s">
        <v>335</v>
      </c>
      <c r="L5" s="28" t="s">
        <v>335</v>
      </c>
      <c r="M5" s="28" t="s">
        <v>80</v>
      </c>
      <c r="N5" s="28" t="s">
        <v>82</v>
      </c>
      <c r="O5" s="28" t="s">
        <v>73</v>
      </c>
    </row>
    <row r="6" spans="1:15">
      <c r="A6" s="29" t="str">
        <f>B22</f>
        <v>RSDBATS01</v>
      </c>
      <c r="B6" s="30" t="s">
        <v>96</v>
      </c>
      <c r="C6" s="30"/>
      <c r="D6" s="30" t="s">
        <v>88</v>
      </c>
      <c r="E6" s="30"/>
      <c r="F6" s="33">
        <f>Input_DATA!C11</f>
        <v>2023</v>
      </c>
      <c r="G6" s="33">
        <f>Input_DATA!E11</f>
        <v>8</v>
      </c>
      <c r="H6" s="34">
        <f>Input_DATA!D11</f>
        <v>0.8</v>
      </c>
      <c r="I6" s="34"/>
      <c r="J6" s="36">
        <f>Input_DATA!I11</f>
        <v>175.5</v>
      </c>
      <c r="K6" s="36"/>
      <c r="L6" s="36">
        <f>Input_DATA!K11</f>
        <v>135</v>
      </c>
      <c r="M6" s="37"/>
      <c r="N6" s="331"/>
      <c r="O6" s="220">
        <f>3.6/1000</f>
        <v>3.5999999999999999E-3</v>
      </c>
    </row>
    <row r="7" spans="1:15">
      <c r="A7" s="29"/>
      <c r="B7" s="30"/>
      <c r="C7" s="273" t="str">
        <f>B36</f>
        <v>AUX_RSDBATS01</v>
      </c>
      <c r="D7" s="30"/>
      <c r="E7" s="30" t="str">
        <f>ELC_BulkEES!$B$84</f>
        <v>AUX_VARSOUT</v>
      </c>
      <c r="F7" s="33"/>
      <c r="G7" s="33"/>
      <c r="H7" s="34"/>
      <c r="I7" s="71"/>
      <c r="J7" s="36"/>
      <c r="K7" s="36"/>
      <c r="L7" s="36"/>
      <c r="M7" s="37"/>
      <c r="N7" s="331"/>
      <c r="O7" s="220"/>
    </row>
    <row r="8" spans="1:15">
      <c r="A8" s="58" t="str">
        <f>B23</f>
        <v>RSDBATS02</v>
      </c>
      <c r="B8" s="59" t="s">
        <v>96</v>
      </c>
      <c r="C8" s="59"/>
      <c r="D8" s="59" t="s">
        <v>88</v>
      </c>
      <c r="E8" s="59"/>
      <c r="F8" s="60">
        <f>Input_DATA!C12</f>
        <v>2023</v>
      </c>
      <c r="G8" s="60">
        <f>Input_DATA!E12</f>
        <v>10</v>
      </c>
      <c r="H8" s="61">
        <f>Input_DATA!D12</f>
        <v>0.9</v>
      </c>
      <c r="I8" s="61"/>
      <c r="J8" s="62">
        <f>Input_DATA!I12</f>
        <v>659.64912280701765</v>
      </c>
      <c r="K8" s="62">
        <f>Input_DATA!J12</f>
        <v>223.68421052631581</v>
      </c>
      <c r="L8" s="62">
        <f>Input_DATA!K12</f>
        <v>215.78947368421055</v>
      </c>
      <c r="M8" s="63"/>
      <c r="N8" s="331"/>
      <c r="O8" s="221">
        <f>3.6/1000</f>
        <v>3.5999999999999999E-3</v>
      </c>
    </row>
    <row r="9" spans="1:15">
      <c r="A9" s="58"/>
      <c r="B9" s="59"/>
      <c r="C9" s="95" t="str">
        <f>"AUX_"&amp;A8</f>
        <v>AUX_RSDBATS02</v>
      </c>
      <c r="D9" s="59"/>
      <c r="E9" s="59" t="str">
        <f>ELC_BulkEES!$B$84</f>
        <v>AUX_VARSOUT</v>
      </c>
      <c r="F9" s="58"/>
      <c r="G9" s="58"/>
      <c r="H9" s="58"/>
      <c r="I9" s="110"/>
      <c r="J9" s="58"/>
      <c r="K9" s="58"/>
      <c r="L9" s="58"/>
      <c r="M9" s="58"/>
      <c r="N9" s="332"/>
      <c r="O9" s="222"/>
    </row>
    <row r="10" spans="1:15">
      <c r="A10" s="29" t="str">
        <f>B24</f>
        <v>RSDBATS03</v>
      </c>
      <c r="B10" s="30" t="s">
        <v>96</v>
      </c>
      <c r="C10" s="30"/>
      <c r="D10" s="30" t="s">
        <v>88</v>
      </c>
      <c r="E10" s="30"/>
      <c r="F10" s="33">
        <f>Input_DATA!C13</f>
        <v>2023</v>
      </c>
      <c r="G10" s="33">
        <f>Input_DATA!E13</f>
        <v>10</v>
      </c>
      <c r="H10" s="34">
        <f>Input_DATA!D13</f>
        <v>0.9</v>
      </c>
      <c r="I10" s="34"/>
      <c r="J10" s="36">
        <f>Input_DATA!I13</f>
        <v>156.90240000000003</v>
      </c>
      <c r="K10" s="36"/>
      <c r="L10" s="36">
        <f>Input_DATA!K13</f>
        <v>68.378399999999999</v>
      </c>
      <c r="M10" s="37"/>
      <c r="N10" s="331"/>
      <c r="O10" s="220">
        <f>3.6/1000</f>
        <v>3.5999999999999999E-3</v>
      </c>
    </row>
    <row r="11" spans="1:15">
      <c r="A11" s="29"/>
      <c r="B11" s="30"/>
      <c r="C11" s="67" t="str">
        <f>"AUX_"&amp;A10</f>
        <v>AUX_RSDBATS03</v>
      </c>
      <c r="E11" s="19" t="str">
        <f>ELC_BulkEES!$B$84</f>
        <v>AUX_VARSOUT</v>
      </c>
      <c r="F11" s="33"/>
      <c r="G11" s="33"/>
      <c r="H11" s="34"/>
      <c r="I11" s="71"/>
      <c r="J11" s="36"/>
      <c r="K11" s="36"/>
      <c r="L11" s="36"/>
      <c r="M11" s="37"/>
      <c r="N11" s="331"/>
      <c r="O11" s="220"/>
    </row>
    <row r="12" spans="1:15">
      <c r="A12" s="92" t="str">
        <f>B25</f>
        <v>P_RSDBATS01</v>
      </c>
      <c r="B12" s="92" t="s">
        <v>270</v>
      </c>
      <c r="C12" s="67"/>
      <c r="D12" s="92" t="str">
        <f>B36</f>
        <v>AUX_RSDBATS01</v>
      </c>
      <c r="E12" s="92"/>
      <c r="F12" s="93">
        <f>F6</f>
        <v>2023</v>
      </c>
      <c r="G12" s="93">
        <f>G6</f>
        <v>8</v>
      </c>
      <c r="H12" s="93"/>
      <c r="I12" s="93"/>
      <c r="J12" s="93" t="str">
        <f>IF(Input_DATA!G11=0,"",Input_DATA!G11)</f>
        <v/>
      </c>
      <c r="K12" s="93"/>
      <c r="L12" s="93" t="str">
        <f>IF(Input_DATA!H11=0,"",Input_DATA!H11)</f>
        <v/>
      </c>
      <c r="M12" s="109">
        <f>Input_DATA!L11</f>
        <v>4.2</v>
      </c>
      <c r="N12" s="93"/>
      <c r="O12" s="49">
        <v>31.54</v>
      </c>
    </row>
    <row r="13" spans="1:15">
      <c r="A13" s="94" t="str">
        <f>B26</f>
        <v>P_RSDBATS02</v>
      </c>
      <c r="B13" s="94" t="s">
        <v>270</v>
      </c>
      <c r="C13" s="95"/>
      <c r="D13" s="94" t="str">
        <f>B37</f>
        <v>AUX_RSDBATS02</v>
      </c>
      <c r="E13" s="94"/>
      <c r="F13" s="96">
        <f>F8</f>
        <v>2023</v>
      </c>
      <c r="G13" s="96">
        <f>G8</f>
        <v>10</v>
      </c>
      <c r="H13" s="96"/>
      <c r="I13" s="96"/>
      <c r="J13" s="96" t="str">
        <f>IF(Input_DATA!G12=0,"",Input_DATA!G12)</f>
        <v/>
      </c>
      <c r="K13" s="96"/>
      <c r="L13" s="96" t="str">
        <f>IF(Input_DATA!H12=0,"",Input_DATA!H12)</f>
        <v/>
      </c>
      <c r="M13" s="101">
        <f>Input_DATA!L12</f>
        <v>4.2</v>
      </c>
      <c r="N13" s="96"/>
      <c r="O13" s="96">
        <v>31.54</v>
      </c>
    </row>
    <row r="14" spans="1:15">
      <c r="A14" s="45" t="str">
        <f>B27</f>
        <v>P_RSDBATS03</v>
      </c>
      <c r="B14" s="45" t="s">
        <v>270</v>
      </c>
      <c r="C14" s="47"/>
      <c r="D14" s="45" t="str">
        <f>B38</f>
        <v>AUX_RSDBATS03</v>
      </c>
      <c r="E14" s="45"/>
      <c r="F14" s="146">
        <f>F10</f>
        <v>2023</v>
      </c>
      <c r="G14" s="146">
        <f>G10</f>
        <v>10</v>
      </c>
      <c r="H14" s="146"/>
      <c r="I14" s="146"/>
      <c r="J14" s="146" t="str">
        <f>IF(Input_DATA!G13=0,"",Input_DATA!G13)</f>
        <v/>
      </c>
      <c r="K14" s="146"/>
      <c r="L14" s="146" t="str">
        <f>IF(Input_DATA!H13=0,"",Input_DATA!H13)</f>
        <v/>
      </c>
      <c r="M14" s="346">
        <f>Input_DATA!L13</f>
        <v>10.1</v>
      </c>
      <c r="N14" s="146"/>
      <c r="O14" s="70">
        <v>31.54</v>
      </c>
    </row>
    <row r="15" spans="1:15" ht="27.75" customHeight="1"/>
    <row r="16" spans="1:15" ht="14.25" customHeight="1">
      <c r="A16" s="19" t="s">
        <v>353</v>
      </c>
    </row>
    <row r="17" spans="1:16">
      <c r="A17" s="294" t="str">
        <f>B30</f>
        <v>EUPVSOLRS01</v>
      </c>
      <c r="B17" s="47" t="s">
        <v>94</v>
      </c>
      <c r="C17" s="47"/>
      <c r="D17" s="47" t="s">
        <v>96</v>
      </c>
      <c r="E17" s="45"/>
      <c r="F17" s="70">
        <v>2015</v>
      </c>
      <c r="G17" s="70">
        <v>30</v>
      </c>
      <c r="H17" s="139">
        <v>0.9</v>
      </c>
      <c r="I17" s="139"/>
      <c r="J17" s="74">
        <f>J8</f>
        <v>659.64912280701765</v>
      </c>
      <c r="K17" s="74"/>
      <c r="L17" s="74">
        <f>L8</f>
        <v>215.78947368421055</v>
      </c>
      <c r="M17" s="102"/>
      <c r="N17" s="70"/>
      <c r="O17" s="225">
        <v>3.5999999999999999E-3</v>
      </c>
      <c r="P17" s="19" t="s">
        <v>333</v>
      </c>
    </row>
    <row r="18" spans="1:16" ht="27.75" customHeight="1"/>
    <row r="19" spans="1:16" ht="27.75" customHeight="1">
      <c r="A19" s="264" t="s">
        <v>18</v>
      </c>
      <c r="B19" s="264"/>
      <c r="C19" s="265"/>
      <c r="D19" s="265"/>
      <c r="E19" s="265"/>
      <c r="F19" s="265"/>
      <c r="G19" s="265"/>
      <c r="H19" s="265"/>
    </row>
    <row r="20" spans="1:16" ht="27.75" customHeight="1">
      <c r="A20" s="266" t="s">
        <v>17</v>
      </c>
      <c r="B20" s="266" t="s">
        <v>1</v>
      </c>
      <c r="C20" s="266" t="s">
        <v>2</v>
      </c>
      <c r="D20" s="266" t="s">
        <v>19</v>
      </c>
      <c r="E20" s="266" t="s">
        <v>20</v>
      </c>
      <c r="F20" s="266" t="s">
        <v>21</v>
      </c>
      <c r="G20" s="266" t="s">
        <v>22</v>
      </c>
      <c r="H20" s="266" t="s">
        <v>23</v>
      </c>
    </row>
    <row r="21" spans="1:16" ht="27.75" customHeight="1" thickBot="1">
      <c r="A21" s="267" t="s">
        <v>209</v>
      </c>
      <c r="B21" s="267" t="s">
        <v>30</v>
      </c>
      <c r="C21" s="267" t="s">
        <v>31</v>
      </c>
      <c r="D21" s="267" t="s">
        <v>32</v>
      </c>
      <c r="E21" s="267" t="s">
        <v>33</v>
      </c>
      <c r="F21" s="267" t="s">
        <v>44</v>
      </c>
      <c r="G21" s="267" t="s">
        <v>43</v>
      </c>
      <c r="H21" s="267" t="s">
        <v>34</v>
      </c>
    </row>
    <row r="22" spans="1:16">
      <c r="A22" s="268" t="s">
        <v>210</v>
      </c>
      <c r="B22" s="273" t="s">
        <v>86</v>
      </c>
      <c r="C22" s="268" t="s">
        <v>156</v>
      </c>
      <c r="D22" s="270" t="s">
        <v>39</v>
      </c>
      <c r="E22" s="269" t="s">
        <v>211</v>
      </c>
      <c r="F22" s="270" t="s">
        <v>40</v>
      </c>
      <c r="G22" s="270" t="s">
        <v>84</v>
      </c>
      <c r="H22" s="273"/>
    </row>
    <row r="23" spans="1:16">
      <c r="A23" s="274"/>
      <c r="B23" s="269" t="s">
        <v>154</v>
      </c>
      <c r="C23" s="268" t="s">
        <v>157</v>
      </c>
      <c r="D23" s="270" t="s">
        <v>39</v>
      </c>
      <c r="E23" s="273" t="s">
        <v>211</v>
      </c>
      <c r="F23" s="270" t="s">
        <v>40</v>
      </c>
      <c r="G23" s="270" t="s">
        <v>84</v>
      </c>
      <c r="H23" s="273"/>
    </row>
    <row r="24" spans="1:16">
      <c r="A24" s="274"/>
      <c r="B24" s="269" t="s">
        <v>155</v>
      </c>
      <c r="C24" s="268" t="s">
        <v>158</v>
      </c>
      <c r="D24" s="270" t="s">
        <v>39</v>
      </c>
      <c r="E24" s="273" t="s">
        <v>211</v>
      </c>
      <c r="F24" s="270" t="s">
        <v>40</v>
      </c>
      <c r="G24" s="270" t="s">
        <v>84</v>
      </c>
      <c r="H24" s="273"/>
    </row>
    <row r="25" spans="1:16" ht="25.5">
      <c r="A25" s="268" t="s">
        <v>164</v>
      </c>
      <c r="B25" s="273" t="str">
        <f>"P_"&amp;B22</f>
        <v>P_RSDBATS01</v>
      </c>
      <c r="C25" s="304" t="str">
        <f>C22&amp;" (accompanying tech to represent power)"</f>
        <v>RSD - Battery (Lead-acid) ELC Storage: DayNite (accompanying tech to represent power)</v>
      </c>
      <c r="D25" s="270" t="s">
        <v>39</v>
      </c>
      <c r="E25" s="273" t="s">
        <v>71</v>
      </c>
      <c r="F25" s="270" t="s">
        <v>40</v>
      </c>
      <c r="G25" s="270"/>
      <c r="H25" s="273"/>
    </row>
    <row r="26" spans="1:16" ht="25.5">
      <c r="A26" s="268"/>
      <c r="B26" s="273" t="str">
        <f>"P_"&amp;B23</f>
        <v>P_RSDBATS02</v>
      </c>
      <c r="C26" s="304" t="str">
        <f>C23&amp;" (accompanying tech to represent power)"</f>
        <v>RSD - Battery (Li-ion) ELC Storage: DayNite (accompanying tech to represent power)</v>
      </c>
      <c r="D26" s="270" t="s">
        <v>39</v>
      </c>
      <c r="E26" s="273" t="s">
        <v>71</v>
      </c>
      <c r="F26" s="270" t="s">
        <v>40</v>
      </c>
      <c r="G26" s="270"/>
      <c r="H26" s="273"/>
    </row>
    <row r="27" spans="1:16" ht="25.5">
      <c r="A27" s="268"/>
      <c r="B27" s="273" t="str">
        <f>"P_"&amp;B24</f>
        <v>P_RSDBATS03</v>
      </c>
      <c r="C27" s="304" t="str">
        <f>C24&amp;" (accompanying tech to represent power)"</f>
        <v>RSD - Battery (NaNiCl ZEBRA) ELC Storage: DayNite (accompanying tech to represent power)</v>
      </c>
      <c r="D27" s="270" t="s">
        <v>39</v>
      </c>
      <c r="E27" s="273" t="s">
        <v>71</v>
      </c>
      <c r="F27" s="270" t="s">
        <v>40</v>
      </c>
      <c r="G27" s="270"/>
      <c r="H27" s="273"/>
    </row>
    <row r="28" spans="1:16">
      <c r="A28" s="305"/>
      <c r="B28" s="290"/>
      <c r="C28" s="306"/>
      <c r="D28" s="289"/>
      <c r="E28" s="290"/>
      <c r="F28" s="289"/>
      <c r="G28" s="305"/>
      <c r="H28" s="305"/>
    </row>
    <row r="30" spans="1:16">
      <c r="A30" s="275" t="s">
        <v>273</v>
      </c>
      <c r="B30" s="301" t="s">
        <v>97</v>
      </c>
      <c r="C30" s="302" t="s">
        <v>101</v>
      </c>
      <c r="D30" s="303" t="s">
        <v>39</v>
      </c>
      <c r="E30" s="303" t="s">
        <v>71</v>
      </c>
      <c r="F30" s="303" t="s">
        <v>40</v>
      </c>
      <c r="G30" s="275" t="s">
        <v>84</v>
      </c>
      <c r="H30" s="303"/>
    </row>
    <row r="31" spans="1:16">
      <c r="A31" s="271"/>
      <c r="B31" s="327"/>
      <c r="C31" s="328"/>
      <c r="D31" s="290"/>
      <c r="E31" s="290"/>
      <c r="F31" s="290"/>
      <c r="G31" s="271"/>
      <c r="H31" s="290"/>
    </row>
    <row r="33" spans="1:8">
      <c r="A33" s="264" t="s">
        <v>8</v>
      </c>
      <c r="B33" s="278"/>
      <c r="C33" s="278"/>
      <c r="D33" s="278"/>
      <c r="E33" s="278"/>
      <c r="F33" s="278"/>
      <c r="G33" s="278"/>
      <c r="H33" s="278"/>
    </row>
    <row r="34" spans="1:8">
      <c r="A34" s="279" t="s">
        <v>9</v>
      </c>
      <c r="B34" s="279" t="s">
        <v>7</v>
      </c>
      <c r="C34" s="279" t="s">
        <v>10</v>
      </c>
      <c r="D34" s="280" t="s">
        <v>11</v>
      </c>
      <c r="E34" s="280" t="s">
        <v>12</v>
      </c>
      <c r="F34" s="280" t="s">
        <v>13</v>
      </c>
      <c r="G34" s="280" t="s">
        <v>14</v>
      </c>
      <c r="H34" s="280" t="s">
        <v>15</v>
      </c>
    </row>
    <row r="35" spans="1:8" ht="39" thickBot="1">
      <c r="A35" s="281" t="s">
        <v>208</v>
      </c>
      <c r="B35" s="281" t="s">
        <v>24</v>
      </c>
      <c r="C35" s="281" t="s">
        <v>25</v>
      </c>
      <c r="D35" s="281" t="s">
        <v>11</v>
      </c>
      <c r="E35" s="281" t="s">
        <v>26</v>
      </c>
      <c r="F35" s="281" t="s">
        <v>27</v>
      </c>
      <c r="G35" s="281" t="s">
        <v>28</v>
      </c>
      <c r="H35" s="281" t="s">
        <v>29</v>
      </c>
    </row>
    <row r="36" spans="1:8" ht="25.5">
      <c r="A36" s="347" t="s">
        <v>352</v>
      </c>
      <c r="B36" s="273" t="str">
        <f>"AUX_"&amp;B22</f>
        <v>AUX_RSDBATS01</v>
      </c>
      <c r="C36" s="308" t="str">
        <f>"Auxiliary input for "&amp;C22</f>
        <v>Auxiliary input for RSD - Battery (Lead-acid) ELC Storage: DayNite</v>
      </c>
      <c r="D36" s="273" t="s">
        <v>39</v>
      </c>
      <c r="E36" s="309" t="s">
        <v>336</v>
      </c>
      <c r="F36" s="273" t="s">
        <v>40</v>
      </c>
      <c r="G36" s="265"/>
      <c r="H36" s="265"/>
    </row>
    <row r="37" spans="1:8" ht="25.5">
      <c r="A37" s="271"/>
      <c r="B37" s="273" t="str">
        <f>"AUX_"&amp;B23</f>
        <v>AUX_RSDBATS02</v>
      </c>
      <c r="C37" s="308" t="str">
        <f>"Auxiliary input for "&amp;C23</f>
        <v>Auxiliary input for RSD - Battery (Li-ion) ELC Storage: DayNite</v>
      </c>
      <c r="D37" s="273" t="s">
        <v>39</v>
      </c>
      <c r="E37" s="309" t="s">
        <v>336</v>
      </c>
      <c r="F37" s="273" t="s">
        <v>40</v>
      </c>
      <c r="G37" s="265"/>
      <c r="H37" s="265"/>
    </row>
    <row r="38" spans="1:8" ht="25.5">
      <c r="A38" s="269"/>
      <c r="B38" s="273" t="str">
        <f>"AUX_"&amp;B24</f>
        <v>AUX_RSDBATS03</v>
      </c>
      <c r="C38" s="308" t="str">
        <f>"Auxiliary input for "&amp;C24</f>
        <v>Auxiliary input for RSD - Battery (NaNiCl ZEBRA) ELC Storage: DayNite</v>
      </c>
      <c r="D38" s="273" t="s">
        <v>39</v>
      </c>
      <c r="E38" s="309" t="s">
        <v>336</v>
      </c>
      <c r="F38" s="273" t="s">
        <v>40</v>
      </c>
      <c r="G38" s="265"/>
      <c r="H38" s="26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zoomScaleNormal="100" workbookViewId="0">
      <selection activeCell="G32" sqref="G32"/>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15" ht="23.25">
      <c r="A1" s="22" t="s">
        <v>92</v>
      </c>
    </row>
    <row r="3" spans="1:15">
      <c r="E3" s="26" t="s">
        <v>93</v>
      </c>
      <c r="G3" s="24"/>
      <c r="H3" s="24"/>
    </row>
    <row r="4" spans="1:15" ht="25.5">
      <c r="A4" s="1" t="s">
        <v>1</v>
      </c>
      <c r="B4" s="1" t="s">
        <v>3</v>
      </c>
      <c r="C4" s="1" t="s">
        <v>75</v>
      </c>
      <c r="D4" s="1" t="s">
        <v>4</v>
      </c>
      <c r="E4" s="1" t="s">
        <v>381</v>
      </c>
      <c r="F4" s="21" t="s">
        <v>16</v>
      </c>
      <c r="G4" s="21" t="s">
        <v>79</v>
      </c>
      <c r="H4" s="21" t="s">
        <v>78</v>
      </c>
      <c r="I4" s="21" t="s">
        <v>49</v>
      </c>
      <c r="J4" s="56" t="s">
        <v>349</v>
      </c>
      <c r="K4" s="56" t="s">
        <v>269</v>
      </c>
      <c r="L4" s="21" t="s">
        <v>77</v>
      </c>
      <c r="M4" s="56" t="s">
        <v>350</v>
      </c>
      <c r="N4" s="56" t="s">
        <v>351</v>
      </c>
      <c r="O4" s="21" t="s">
        <v>72</v>
      </c>
    </row>
    <row r="5" spans="1:15" ht="39" thickBot="1">
      <c r="A5" s="27" t="s">
        <v>42</v>
      </c>
      <c r="B5" s="27" t="s">
        <v>35</v>
      </c>
      <c r="C5" s="27" t="s">
        <v>85</v>
      </c>
      <c r="D5" s="27" t="s">
        <v>36</v>
      </c>
      <c r="E5" s="27" t="s">
        <v>382</v>
      </c>
      <c r="F5" s="28"/>
      <c r="G5" s="28" t="s">
        <v>81</v>
      </c>
      <c r="H5" s="28" t="s">
        <v>83</v>
      </c>
      <c r="I5" s="28"/>
      <c r="J5" s="28" t="s">
        <v>335</v>
      </c>
      <c r="K5" s="28" t="s">
        <v>335</v>
      </c>
      <c r="L5" s="28" t="s">
        <v>335</v>
      </c>
      <c r="M5" s="28" t="s">
        <v>80</v>
      </c>
      <c r="N5" s="28" t="s">
        <v>82</v>
      </c>
      <c r="O5" s="28" t="s">
        <v>73</v>
      </c>
    </row>
    <row r="6" spans="1:15">
      <c r="A6" s="58" t="str">
        <f>B20</f>
        <v>COMBATS01</v>
      </c>
      <c r="B6" s="59" t="s">
        <v>96</v>
      </c>
      <c r="C6" s="59"/>
      <c r="D6" s="95" t="s">
        <v>95</v>
      </c>
      <c r="E6" s="95"/>
      <c r="F6" s="60">
        <f>Input_DATA!C14</f>
        <v>2023</v>
      </c>
      <c r="G6" s="60">
        <f>Input_DATA!E14</f>
        <v>8</v>
      </c>
      <c r="H6" s="61">
        <f>Input_DATA!D14</f>
        <v>0.8</v>
      </c>
      <c r="I6" s="61"/>
      <c r="J6" s="62">
        <f>Input_DATA!I14</f>
        <v>175.5</v>
      </c>
      <c r="K6" s="62"/>
      <c r="L6" s="62">
        <f>Input_DATA!K14</f>
        <v>135</v>
      </c>
      <c r="M6" s="63"/>
      <c r="N6" s="331"/>
      <c r="O6" s="221">
        <f>3.6/1000</f>
        <v>3.5999999999999999E-3</v>
      </c>
    </row>
    <row r="7" spans="1:15">
      <c r="A7" s="94"/>
      <c r="B7" s="94"/>
      <c r="C7" s="95" t="str">
        <f>"AUX_"&amp;A6</f>
        <v>AUX_COMBATS01</v>
      </c>
      <c r="D7" s="95"/>
      <c r="E7" s="95" t="str">
        <f>ELC_BulkEES!$B$84</f>
        <v>AUX_VARSOUT</v>
      </c>
      <c r="F7" s="94"/>
      <c r="G7" s="94"/>
      <c r="H7" s="94"/>
      <c r="I7" s="111"/>
      <c r="J7" s="94"/>
      <c r="K7" s="94"/>
      <c r="L7" s="94"/>
      <c r="M7" s="94"/>
      <c r="N7" s="335"/>
      <c r="O7" s="223"/>
    </row>
    <row r="8" spans="1:15">
      <c r="A8" s="48" t="str">
        <f>B21</f>
        <v>COMBATS02</v>
      </c>
      <c r="B8" s="67" t="s">
        <v>96</v>
      </c>
      <c r="C8" s="67"/>
      <c r="D8" s="67" t="s">
        <v>95</v>
      </c>
      <c r="E8" s="67"/>
      <c r="F8" s="49">
        <f>Input_DATA!C15</f>
        <v>2023</v>
      </c>
      <c r="G8" s="49">
        <f>Input_DATA!E15</f>
        <v>10</v>
      </c>
      <c r="H8" s="108">
        <f>Input_DATA!D15</f>
        <v>0.9</v>
      </c>
      <c r="I8" s="108"/>
      <c r="J8" s="97">
        <f>Input_DATA!I15</f>
        <v>659.64912280701765</v>
      </c>
      <c r="K8" s="97">
        <f>Input_DATA!J15</f>
        <v>223.68421052631581</v>
      </c>
      <c r="L8" s="97">
        <f>Input_DATA!K15</f>
        <v>215.78947368421055</v>
      </c>
      <c r="M8" s="100"/>
      <c r="N8" s="334"/>
      <c r="O8" s="220">
        <f>3.6/1000</f>
        <v>3.5999999999999999E-3</v>
      </c>
    </row>
    <row r="9" spans="1:15">
      <c r="A9" s="92"/>
      <c r="B9" s="92"/>
      <c r="C9" s="67" t="str">
        <f>"AUX_"&amp;A8</f>
        <v>AUX_COMBATS02</v>
      </c>
      <c r="E9" s="19" t="str">
        <f>ELC_BulkEES!$B$84</f>
        <v>AUX_VARSOUT</v>
      </c>
      <c r="F9" s="92"/>
      <c r="G9" s="92"/>
      <c r="H9" s="92"/>
      <c r="I9" s="107"/>
      <c r="J9" s="92"/>
      <c r="K9" s="92"/>
      <c r="L9" s="92"/>
      <c r="M9" s="92"/>
      <c r="N9" s="335"/>
      <c r="O9" s="224"/>
    </row>
    <row r="10" spans="1:15">
      <c r="A10" s="94" t="str">
        <f>B22</f>
        <v>COMBATS03</v>
      </c>
      <c r="B10" s="95" t="s">
        <v>96</v>
      </c>
      <c r="C10" s="95"/>
      <c r="D10" s="95" t="s">
        <v>95</v>
      </c>
      <c r="E10" s="95"/>
      <c r="F10" s="96">
        <f>Input_DATA!C16</f>
        <v>2023</v>
      </c>
      <c r="G10" s="96">
        <f>Input_DATA!E16</f>
        <v>10</v>
      </c>
      <c r="H10" s="112">
        <f>Input_DATA!D16</f>
        <v>0.9</v>
      </c>
      <c r="I10" s="112"/>
      <c r="J10" s="99">
        <f>Input_DATA!I16</f>
        <v>156.90240000000003</v>
      </c>
      <c r="K10" s="99"/>
      <c r="L10" s="99">
        <f>Input_DATA!K16</f>
        <v>68.378399999999999</v>
      </c>
      <c r="M10" s="101"/>
      <c r="N10" s="334"/>
      <c r="O10" s="221">
        <f>3.6/1000</f>
        <v>3.5999999999999999E-3</v>
      </c>
    </row>
    <row r="11" spans="1:15">
      <c r="A11" s="94"/>
      <c r="B11" s="94"/>
      <c r="C11" s="95" t="str">
        <f>"AUX_"&amp;A10</f>
        <v>AUX_COMBATS03</v>
      </c>
      <c r="D11" s="95"/>
      <c r="E11" s="95" t="str">
        <f>ELC_BulkEES!$B$84</f>
        <v>AUX_VARSOUT</v>
      </c>
      <c r="F11" s="94"/>
      <c r="G11" s="96"/>
      <c r="H11" s="96"/>
      <c r="I11" s="111"/>
      <c r="J11" s="96"/>
      <c r="K11" s="96"/>
      <c r="L11" s="96"/>
      <c r="M11" s="96"/>
      <c r="N11" s="334"/>
      <c r="O11" s="96"/>
    </row>
    <row r="12" spans="1:15">
      <c r="A12" s="48" t="str">
        <f>B23</f>
        <v>P_COMBATS01</v>
      </c>
      <c r="B12" s="48" t="s">
        <v>270</v>
      </c>
      <c r="C12" s="67"/>
      <c r="D12" s="48" t="str">
        <f>B33</f>
        <v>AUX_COMBATS01</v>
      </c>
      <c r="E12" s="48"/>
      <c r="F12" s="49">
        <f>F6</f>
        <v>2023</v>
      </c>
      <c r="G12" s="49">
        <f>G6</f>
        <v>8</v>
      </c>
      <c r="H12" s="49"/>
      <c r="I12" s="49"/>
      <c r="J12" s="49" t="str">
        <f>IF(Input_DATA!G14=0,"",Input_DATA!G14)</f>
        <v/>
      </c>
      <c r="K12" s="49"/>
      <c r="L12" s="49" t="str">
        <f>IF(Input_DATA!H14=0,"",Input_DATA!H14)</f>
        <v/>
      </c>
      <c r="M12" s="100">
        <f>Input_DATA!L14</f>
        <v>4.2</v>
      </c>
      <c r="N12" s="49"/>
      <c r="O12" s="49">
        <v>31.54</v>
      </c>
    </row>
    <row r="13" spans="1:15">
      <c r="A13" s="94" t="str">
        <f>B24</f>
        <v>P_COMBATS02</v>
      </c>
      <c r="B13" s="94" t="s">
        <v>270</v>
      </c>
      <c r="C13" s="95"/>
      <c r="D13" s="94" t="str">
        <f>B34</f>
        <v>AUX_COMBATS02</v>
      </c>
      <c r="E13" s="94"/>
      <c r="F13" s="96">
        <f>F8</f>
        <v>2023</v>
      </c>
      <c r="G13" s="96">
        <f>G8</f>
        <v>10</v>
      </c>
      <c r="H13" s="96"/>
      <c r="I13" s="96"/>
      <c r="J13" s="96" t="str">
        <f>IF(Input_DATA!G15=0,"",Input_DATA!G15)</f>
        <v/>
      </c>
      <c r="K13" s="96"/>
      <c r="L13" s="96" t="str">
        <f>IF(Input_DATA!H15=0,"",Input_DATA!H15)</f>
        <v/>
      </c>
      <c r="M13" s="101">
        <f>Input_DATA!L15</f>
        <v>4.2</v>
      </c>
      <c r="N13" s="96"/>
      <c r="O13" s="96">
        <v>31.54</v>
      </c>
    </row>
    <row r="14" spans="1:15" ht="17.25" customHeight="1">
      <c r="A14" s="46" t="str">
        <f>B25</f>
        <v>P_COMBATS03</v>
      </c>
      <c r="B14" s="46" t="s">
        <v>270</v>
      </c>
      <c r="C14" s="47"/>
      <c r="D14" s="46" t="str">
        <f>B35</f>
        <v>AUX_COMBATS03</v>
      </c>
      <c r="E14" s="46"/>
      <c r="F14" s="70">
        <f>F10</f>
        <v>2023</v>
      </c>
      <c r="G14" s="70">
        <f>G10</f>
        <v>10</v>
      </c>
      <c r="H14" s="70"/>
      <c r="I14" s="70"/>
      <c r="J14" s="70" t="str">
        <f>IF(Input_DATA!G16=0,"",Input_DATA!G16)</f>
        <v/>
      </c>
      <c r="K14" s="70"/>
      <c r="L14" s="70" t="str">
        <f>IF(Input_DATA!H16=0,"",Input_DATA!H16)</f>
        <v/>
      </c>
      <c r="M14" s="102">
        <f>Input_DATA!L16</f>
        <v>10.1</v>
      </c>
      <c r="N14" s="70"/>
      <c r="O14" s="70">
        <v>31.54</v>
      </c>
    </row>
    <row r="15" spans="1:15" ht="14.25" customHeight="1"/>
    <row r="16" spans="1:15" ht="14.25" customHeight="1"/>
    <row r="17" spans="1:8" ht="27.75" customHeight="1">
      <c r="A17" s="264" t="s">
        <v>18</v>
      </c>
      <c r="B17" s="264"/>
      <c r="C17" s="265"/>
      <c r="D17" s="265"/>
      <c r="E17" s="265"/>
      <c r="F17" s="265"/>
      <c r="G17" s="265"/>
      <c r="H17" s="265"/>
    </row>
    <row r="18" spans="1:8" ht="27.75" customHeight="1">
      <c r="A18" s="266" t="s">
        <v>17</v>
      </c>
      <c r="B18" s="266" t="s">
        <v>1</v>
      </c>
      <c r="C18" s="266" t="s">
        <v>2</v>
      </c>
      <c r="D18" s="266" t="s">
        <v>19</v>
      </c>
      <c r="E18" s="266" t="s">
        <v>20</v>
      </c>
      <c r="F18" s="266" t="s">
        <v>21</v>
      </c>
      <c r="G18" s="266" t="s">
        <v>22</v>
      </c>
      <c r="H18" s="266" t="s">
        <v>23</v>
      </c>
    </row>
    <row r="19" spans="1:8" ht="27.75" customHeight="1" thickBot="1">
      <c r="A19" s="267" t="s">
        <v>209</v>
      </c>
      <c r="B19" s="267" t="s">
        <v>30</v>
      </c>
      <c r="C19" s="267" t="s">
        <v>31</v>
      </c>
      <c r="D19" s="267" t="s">
        <v>32</v>
      </c>
      <c r="E19" s="267" t="s">
        <v>33</v>
      </c>
      <c r="F19" s="267" t="s">
        <v>44</v>
      </c>
      <c r="G19" s="267" t="s">
        <v>43</v>
      </c>
      <c r="H19" s="267" t="s">
        <v>34</v>
      </c>
    </row>
    <row r="20" spans="1:8">
      <c r="A20" s="268" t="s">
        <v>210</v>
      </c>
      <c r="B20" s="290" t="s">
        <v>87</v>
      </c>
      <c r="C20" s="299" t="s">
        <v>161</v>
      </c>
      <c r="D20" s="289" t="s">
        <v>39</v>
      </c>
      <c r="E20" s="290" t="s">
        <v>211</v>
      </c>
      <c r="F20" s="289" t="s">
        <v>40</v>
      </c>
      <c r="G20" s="270" t="s">
        <v>84</v>
      </c>
      <c r="H20" s="290"/>
    </row>
    <row r="21" spans="1:8">
      <c r="A21" s="288"/>
      <c r="B21" s="271" t="s">
        <v>159</v>
      </c>
      <c r="C21" s="299" t="s">
        <v>162</v>
      </c>
      <c r="D21" s="289" t="s">
        <v>39</v>
      </c>
      <c r="E21" s="290" t="s">
        <v>211</v>
      </c>
      <c r="F21" s="289" t="s">
        <v>40</v>
      </c>
      <c r="G21" s="270" t="s">
        <v>84</v>
      </c>
      <c r="H21" s="290"/>
    </row>
    <row r="22" spans="1:8">
      <c r="A22" s="291"/>
      <c r="B22" s="292" t="s">
        <v>160</v>
      </c>
      <c r="C22" s="300" t="s">
        <v>163</v>
      </c>
      <c r="D22" s="294" t="s">
        <v>39</v>
      </c>
      <c r="E22" s="293" t="s">
        <v>211</v>
      </c>
      <c r="F22" s="294" t="s">
        <v>40</v>
      </c>
      <c r="G22" s="294" t="s">
        <v>84</v>
      </c>
      <c r="H22" s="293"/>
    </row>
    <row r="23" spans="1:8" ht="25.5">
      <c r="A23" s="268" t="s">
        <v>164</v>
      </c>
      <c r="B23" s="290" t="str">
        <f>"P_"&amp;B20</f>
        <v>P_COMBATS01</v>
      </c>
      <c r="C23" s="306" t="str">
        <f>C20&amp;" (accompanying tech to represent power)"</f>
        <v>COM - Battery (Lead-acid) ELC Storage: DayNite (accompanying tech to represent power)</v>
      </c>
      <c r="D23" s="289" t="s">
        <v>39</v>
      </c>
      <c r="E23" s="290" t="s">
        <v>71</v>
      </c>
      <c r="F23" s="289" t="s">
        <v>40</v>
      </c>
      <c r="G23" s="305"/>
      <c r="H23" s="305"/>
    </row>
    <row r="24" spans="1:8" ht="25.5">
      <c r="A24" s="305"/>
      <c r="B24" s="273" t="str">
        <f t="shared" ref="B24:B25" si="0">"P_"&amp;B21</f>
        <v>P_COMBATS02</v>
      </c>
      <c r="C24" s="304" t="str">
        <f t="shared" ref="C24:C25" si="1">C21&amp;" (accompanying tech to represent power)"</f>
        <v>COM - Battery (Li-ion) ELC Storage: DayNite (accompanying tech to represent power)</v>
      </c>
      <c r="D24" s="270" t="s">
        <v>39</v>
      </c>
      <c r="E24" s="273" t="s">
        <v>71</v>
      </c>
      <c r="F24" s="270" t="s">
        <v>40</v>
      </c>
      <c r="G24" s="305"/>
      <c r="H24" s="305"/>
    </row>
    <row r="25" spans="1:8" ht="25.5">
      <c r="A25" s="286"/>
      <c r="B25" s="293" t="str">
        <f t="shared" si="0"/>
        <v>P_COMBATS03</v>
      </c>
      <c r="C25" s="307" t="str">
        <f t="shared" si="1"/>
        <v>COM - Battery (NaNiCl ZEBRA) ELC Storage: DayNite (accompanying tech to represent power)</v>
      </c>
      <c r="D25" s="294" t="s">
        <v>39</v>
      </c>
      <c r="E25" s="293" t="s">
        <v>71</v>
      </c>
      <c r="F25" s="294" t="s">
        <v>40</v>
      </c>
      <c r="G25" s="286"/>
      <c r="H25" s="286"/>
    </row>
    <row r="26" spans="1:8">
      <c r="A26" s="305"/>
      <c r="B26" s="290"/>
      <c r="C26" s="306"/>
      <c r="D26" s="289"/>
      <c r="E26" s="290"/>
      <c r="F26" s="289"/>
      <c r="G26" s="305"/>
      <c r="H26" s="305"/>
    </row>
    <row r="28" spans="1:8">
      <c r="A28" s="271"/>
      <c r="B28" s="327"/>
      <c r="C28" s="328"/>
      <c r="D28" s="290"/>
      <c r="E28" s="290"/>
      <c r="F28" s="290"/>
      <c r="G28" s="271"/>
      <c r="H28" s="290"/>
    </row>
    <row r="30" spans="1:8">
      <c r="A30" s="264" t="s">
        <v>8</v>
      </c>
      <c r="B30" s="278"/>
      <c r="C30" s="278"/>
      <c r="D30" s="278"/>
      <c r="E30" s="278"/>
      <c r="F30" s="278"/>
      <c r="G30" s="278"/>
      <c r="H30" s="278"/>
    </row>
    <row r="31" spans="1:8">
      <c r="A31" s="279" t="s">
        <v>9</v>
      </c>
      <c r="B31" s="279" t="s">
        <v>7</v>
      </c>
      <c r="C31" s="279" t="s">
        <v>10</v>
      </c>
      <c r="D31" s="280" t="s">
        <v>11</v>
      </c>
      <c r="E31" s="280" t="s">
        <v>12</v>
      </c>
      <c r="F31" s="280" t="s">
        <v>13</v>
      </c>
      <c r="G31" s="280" t="s">
        <v>14</v>
      </c>
      <c r="H31" s="280" t="s">
        <v>15</v>
      </c>
    </row>
    <row r="32" spans="1:8" ht="39" thickBot="1">
      <c r="A32" s="281" t="s">
        <v>208</v>
      </c>
      <c r="B32" s="281" t="s">
        <v>24</v>
      </c>
      <c r="C32" s="281" t="s">
        <v>25</v>
      </c>
      <c r="D32" s="281" t="s">
        <v>11</v>
      </c>
      <c r="E32" s="281" t="s">
        <v>26</v>
      </c>
      <c r="F32" s="281" t="s">
        <v>27</v>
      </c>
      <c r="G32" s="281" t="s">
        <v>28</v>
      </c>
      <c r="H32" s="281" t="s">
        <v>29</v>
      </c>
    </row>
    <row r="33" spans="1:8" ht="25.5">
      <c r="A33" s="347" t="s">
        <v>352</v>
      </c>
      <c r="B33" s="273" t="str">
        <f>"AUX_"&amp;B20</f>
        <v>AUX_COMBATS01</v>
      </c>
      <c r="C33" s="308" t="str">
        <f>"Auxiliary input for "&amp;C20</f>
        <v>Auxiliary input for COM - Battery (Lead-acid) ELC Storage: DayNite</v>
      </c>
      <c r="D33" s="273" t="s">
        <v>39</v>
      </c>
      <c r="E33" s="309" t="s">
        <v>336</v>
      </c>
      <c r="F33" s="273" t="s">
        <v>40</v>
      </c>
      <c r="G33" s="265"/>
      <c r="H33" s="265"/>
    </row>
    <row r="34" spans="1:8" ht="25.5">
      <c r="A34" s="305"/>
      <c r="B34" s="290" t="str">
        <f t="shared" ref="B34:B35" si="2">"AUX_"&amp;B21</f>
        <v>AUX_COMBATS02</v>
      </c>
      <c r="C34" s="348" t="str">
        <f t="shared" ref="C34:C35" si="3">"Auxiliary input for "&amp;C21</f>
        <v>Auxiliary input for COM - Battery (Li-ion) ELC Storage: DayNite</v>
      </c>
      <c r="D34" s="290" t="s">
        <v>39</v>
      </c>
      <c r="E34" s="349" t="s">
        <v>336</v>
      </c>
      <c r="F34" s="290" t="s">
        <v>40</v>
      </c>
      <c r="G34" s="305"/>
      <c r="H34" s="305"/>
    </row>
    <row r="35" spans="1:8" ht="25.5">
      <c r="A35" s="286"/>
      <c r="B35" s="293" t="str">
        <f t="shared" si="2"/>
        <v>AUX_COMBATS03</v>
      </c>
      <c r="C35" s="350" t="str">
        <f t="shared" si="3"/>
        <v>Auxiliary input for COM - Battery (NaNiCl ZEBRA) ELC Storage: DayNite</v>
      </c>
      <c r="D35" s="293" t="s">
        <v>39</v>
      </c>
      <c r="E35" s="351" t="s">
        <v>336</v>
      </c>
      <c r="F35" s="293" t="s">
        <v>40</v>
      </c>
      <c r="G35" s="286"/>
      <c r="H35" s="28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5"/>
  <sheetViews>
    <sheetView tabSelected="1" workbookViewId="0">
      <selection activeCell="D7" sqref="D7"/>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2" ht="23.25">
      <c r="A1" s="22" t="s">
        <v>99</v>
      </c>
    </row>
    <row r="2" spans="1:12" ht="15.75">
      <c r="A2" s="23"/>
    </row>
    <row r="3" spans="1:12">
      <c r="C3" s="26" t="s">
        <v>93</v>
      </c>
      <c r="D3" s="24"/>
      <c r="E3" s="24"/>
      <c r="F3" s="24"/>
      <c r="G3" s="25"/>
    </row>
    <row r="4" spans="1:12" ht="25.5">
      <c r="A4" s="1" t="s">
        <v>1</v>
      </c>
      <c r="B4" s="1" t="s">
        <v>3</v>
      </c>
      <c r="C4" s="1" t="s">
        <v>4</v>
      </c>
      <c r="D4" s="21" t="s">
        <v>16</v>
      </c>
      <c r="E4" s="21" t="s">
        <v>79</v>
      </c>
      <c r="F4" s="21" t="s">
        <v>78</v>
      </c>
      <c r="G4" s="56" t="s">
        <v>349</v>
      </c>
      <c r="H4" s="21" t="s">
        <v>77</v>
      </c>
      <c r="I4" s="56" t="s">
        <v>350</v>
      </c>
      <c r="J4" s="56" t="s">
        <v>351</v>
      </c>
      <c r="K4" s="21" t="s">
        <v>72</v>
      </c>
      <c r="L4" s="21" t="s">
        <v>100</v>
      </c>
    </row>
    <row r="5" spans="1:12" ht="26.25" thickBot="1">
      <c r="A5" s="27" t="s">
        <v>42</v>
      </c>
      <c r="B5" s="27" t="s">
        <v>35</v>
      </c>
      <c r="C5" s="27" t="s">
        <v>36</v>
      </c>
      <c r="D5" s="28"/>
      <c r="E5" s="28" t="s">
        <v>81</v>
      </c>
      <c r="F5" s="28" t="s">
        <v>83</v>
      </c>
      <c r="G5" s="28" t="s">
        <v>82</v>
      </c>
      <c r="H5" s="28" t="s">
        <v>82</v>
      </c>
      <c r="I5" s="28" t="s">
        <v>279</v>
      </c>
      <c r="J5" s="28" t="s">
        <v>82</v>
      </c>
      <c r="K5" s="28"/>
      <c r="L5" s="28"/>
    </row>
    <row r="6" spans="1:12">
      <c r="A6" s="29" t="str">
        <f>B15</f>
        <v>STGHTH01</v>
      </c>
      <c r="B6" s="30" t="s">
        <v>91</v>
      </c>
      <c r="C6" s="30" t="str">
        <f>B6</f>
        <v>HETHTH</v>
      </c>
      <c r="D6" s="33">
        <f>Input_DATA!C18</f>
        <v>2023</v>
      </c>
      <c r="E6" s="33">
        <f>Input_DATA!E18</f>
        <v>30</v>
      </c>
      <c r="F6" s="34">
        <f>Input_DATA!D18</f>
        <v>0.7</v>
      </c>
      <c r="G6" s="36">
        <f>Input_DATA!I18</f>
        <v>769</v>
      </c>
      <c r="H6" s="36">
        <f>Input_DATA!K18</f>
        <v>128</v>
      </c>
      <c r="I6" s="37">
        <f>Input_DATA!L18</f>
        <v>15.4</v>
      </c>
      <c r="J6" s="33"/>
      <c r="K6" s="32">
        <v>1</v>
      </c>
    </row>
    <row r="7" spans="1:12">
      <c r="A7" s="29" t="str">
        <f>B16</f>
        <v>STGHTH02</v>
      </c>
      <c r="B7" s="51" t="s">
        <v>91</v>
      </c>
      <c r="C7" s="51" t="str">
        <f>B7</f>
        <v>HETHTH</v>
      </c>
      <c r="D7" s="33">
        <f>Input_DATA!C19</f>
        <v>2023</v>
      </c>
      <c r="E7" s="33">
        <f>Input_DATA!E19</f>
        <v>20</v>
      </c>
      <c r="F7" s="34">
        <f>Input_DATA!D19</f>
        <v>0.7</v>
      </c>
      <c r="G7" s="36">
        <f>Input_DATA!I19</f>
        <v>2562</v>
      </c>
      <c r="H7" s="36"/>
      <c r="I7" s="37">
        <f>Input_DATA!L19</f>
        <v>51.2</v>
      </c>
      <c r="J7" s="33"/>
      <c r="K7" s="32">
        <v>1</v>
      </c>
    </row>
    <row r="8" spans="1:12">
      <c r="K8" s="120"/>
      <c r="L8" s="35"/>
    </row>
    <row r="9" spans="1:12">
      <c r="C9" s="51"/>
      <c r="L9" s="35"/>
    </row>
    <row r="12" spans="1:12">
      <c r="A12" s="264" t="s">
        <v>18</v>
      </c>
      <c r="B12" s="264"/>
      <c r="C12" s="265"/>
      <c r="D12" s="265"/>
      <c r="E12" s="265"/>
      <c r="F12" s="265"/>
      <c r="G12" s="265"/>
      <c r="H12" s="265"/>
    </row>
    <row r="13" spans="1:12">
      <c r="A13" s="266" t="s">
        <v>17</v>
      </c>
      <c r="B13" s="266" t="s">
        <v>1</v>
      </c>
      <c r="C13" s="266" t="s">
        <v>2</v>
      </c>
      <c r="D13" s="266" t="s">
        <v>19</v>
      </c>
      <c r="E13" s="266" t="s">
        <v>20</v>
      </c>
      <c r="F13" s="266" t="s">
        <v>21</v>
      </c>
      <c r="G13" s="266" t="s">
        <v>22</v>
      </c>
      <c r="H13" s="266" t="s">
        <v>23</v>
      </c>
    </row>
    <row r="14" spans="1:12" ht="39" thickBot="1">
      <c r="A14" s="267" t="s">
        <v>209</v>
      </c>
      <c r="B14" s="267" t="s">
        <v>30</v>
      </c>
      <c r="C14" s="267" t="s">
        <v>31</v>
      </c>
      <c r="D14" s="267" t="s">
        <v>32</v>
      </c>
      <c r="E14" s="267" t="s">
        <v>33</v>
      </c>
      <c r="F14" s="267" t="s">
        <v>44</v>
      </c>
      <c r="G14" s="267" t="s">
        <v>43</v>
      </c>
      <c r="H14" s="267" t="s">
        <v>34</v>
      </c>
    </row>
    <row r="15" spans="1:12">
      <c r="A15" s="268" t="s">
        <v>210</v>
      </c>
      <c r="B15" s="273" t="s">
        <v>89</v>
      </c>
      <c r="C15" s="268" t="s">
        <v>280</v>
      </c>
      <c r="D15" s="270" t="s">
        <v>39</v>
      </c>
      <c r="E15" s="269" t="s">
        <v>282</v>
      </c>
      <c r="F15" s="270" t="s">
        <v>274</v>
      </c>
      <c r="G15" s="270"/>
      <c r="H15" s="273"/>
    </row>
    <row r="16" spans="1:12">
      <c r="A16" s="274"/>
      <c r="B16" s="269" t="s">
        <v>167</v>
      </c>
      <c r="C16" s="268" t="s">
        <v>281</v>
      </c>
      <c r="D16" s="270" t="s">
        <v>39</v>
      </c>
      <c r="E16" s="269" t="s">
        <v>282</v>
      </c>
      <c r="F16" s="270" t="s">
        <v>274</v>
      </c>
      <c r="G16" s="270"/>
      <c r="H16" s="273"/>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64" t="s">
        <v>8</v>
      </c>
      <c r="B23" s="278"/>
      <c r="C23" s="278"/>
      <c r="D23" s="278"/>
      <c r="E23" s="278"/>
      <c r="F23" s="278"/>
      <c r="G23" s="278"/>
      <c r="H23" s="278"/>
    </row>
    <row r="24" spans="1:8">
      <c r="A24" s="279" t="s">
        <v>9</v>
      </c>
      <c r="B24" s="279" t="s">
        <v>7</v>
      </c>
      <c r="C24" s="279" t="s">
        <v>10</v>
      </c>
      <c r="D24" s="280" t="s">
        <v>11</v>
      </c>
      <c r="E24" s="280" t="s">
        <v>12</v>
      </c>
      <c r="F24" s="280" t="s">
        <v>13</v>
      </c>
      <c r="G24" s="280" t="s">
        <v>14</v>
      </c>
      <c r="H24" s="280" t="s">
        <v>15</v>
      </c>
    </row>
    <row r="25" spans="1:8" ht="39" thickBot="1">
      <c r="A25" s="281" t="s">
        <v>208</v>
      </c>
      <c r="B25" s="281" t="s">
        <v>24</v>
      </c>
      <c r="C25" s="281" t="s">
        <v>25</v>
      </c>
      <c r="D25" s="281" t="s">
        <v>11</v>
      </c>
      <c r="E25" s="281" t="s">
        <v>26</v>
      </c>
      <c r="F25" s="281" t="s">
        <v>27</v>
      </c>
      <c r="G25" s="281" t="s">
        <v>28</v>
      </c>
      <c r="H25" s="281"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topLeftCell="A7" workbookViewId="0">
      <selection activeCell="D26" sqref="D26"/>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98</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26" t="s">
        <v>93</v>
      </c>
      <c r="D3" s="24"/>
      <c r="E3" s="24"/>
      <c r="F3" s="24"/>
      <c r="G3" s="25"/>
      <c r="H3" s="19"/>
      <c r="I3" s="19"/>
      <c r="J3" s="19"/>
      <c r="K3" s="19"/>
      <c r="L3" s="19"/>
      <c r="M3" s="19"/>
      <c r="N3" s="19"/>
    </row>
    <row r="4" spans="1:16" ht="25.5">
      <c r="A4" s="1" t="s">
        <v>1</v>
      </c>
      <c r="B4" s="1" t="s">
        <v>3</v>
      </c>
      <c r="C4" s="1" t="s">
        <v>4</v>
      </c>
      <c r="D4" s="1" t="s">
        <v>16</v>
      </c>
      <c r="E4" s="1" t="s">
        <v>79</v>
      </c>
      <c r="F4" s="1" t="s">
        <v>78</v>
      </c>
      <c r="G4" s="157" t="s">
        <v>349</v>
      </c>
      <c r="H4" s="157" t="s">
        <v>77</v>
      </c>
      <c r="I4" s="1" t="s">
        <v>350</v>
      </c>
      <c r="J4" s="1" t="s">
        <v>351</v>
      </c>
      <c r="K4" s="1" t="s">
        <v>72</v>
      </c>
      <c r="L4" s="1" t="s">
        <v>100</v>
      </c>
      <c r="M4" s="19"/>
      <c r="N4" s="19"/>
    </row>
    <row r="5" spans="1:16" ht="26.25" thickBot="1">
      <c r="A5" s="27" t="s">
        <v>42</v>
      </c>
      <c r="B5" s="27" t="s">
        <v>35</v>
      </c>
      <c r="C5" s="27" t="s">
        <v>36</v>
      </c>
      <c r="D5" s="28"/>
      <c r="E5" s="28" t="s">
        <v>81</v>
      </c>
      <c r="F5" s="28" t="s">
        <v>83</v>
      </c>
      <c r="G5" s="28" t="s">
        <v>82</v>
      </c>
      <c r="H5" s="28" t="s">
        <v>82</v>
      </c>
      <c r="I5" s="28" t="s">
        <v>279</v>
      </c>
      <c r="J5" s="28" t="s">
        <v>82</v>
      </c>
      <c r="K5" s="28"/>
      <c r="L5" s="28"/>
      <c r="M5" s="19"/>
      <c r="N5" s="19"/>
    </row>
    <row r="6" spans="1:16">
      <c r="A6" s="29" t="str">
        <f>B35</f>
        <v>STGCOO01</v>
      </c>
      <c r="B6" s="51" t="s">
        <v>132</v>
      </c>
      <c r="C6" s="30" t="str">
        <f>B6</f>
        <v>COOFRE</v>
      </c>
      <c r="D6" s="33">
        <f>Input_DATA!C20</f>
        <v>2023</v>
      </c>
      <c r="E6" s="33">
        <f>Input_DATA!E20</f>
        <v>30</v>
      </c>
      <c r="F6" s="34">
        <f>Input_DATA!D20</f>
        <v>0.7</v>
      </c>
      <c r="G6" s="36">
        <f>Input_DATA!I20</f>
        <v>769</v>
      </c>
      <c r="H6" s="36">
        <f>Input_DATA!K20</f>
        <v>128</v>
      </c>
      <c r="I6" s="37">
        <f>Input_DATA!L20</f>
        <v>15.4</v>
      </c>
      <c r="J6" s="33"/>
      <c r="K6" s="31">
        <v>1</v>
      </c>
      <c r="L6" s="19"/>
      <c r="M6" s="19"/>
      <c r="N6" s="19"/>
    </row>
    <row r="7" spans="1:16">
      <c r="A7" s="29" t="str">
        <f>B36</f>
        <v>STGCOO02</v>
      </c>
      <c r="B7" s="51" t="s">
        <v>132</v>
      </c>
      <c r="C7" s="30" t="str">
        <f>B7</f>
        <v>COOFRE</v>
      </c>
      <c r="D7" s="33">
        <f>Input_DATA!C21</f>
        <v>2023</v>
      </c>
      <c r="E7" s="33">
        <f>Input_DATA!E21</f>
        <v>20</v>
      </c>
      <c r="F7" s="34">
        <f>Input_DATA!D21</f>
        <v>0.7</v>
      </c>
      <c r="G7" s="36">
        <f>Input_DATA!I21</f>
        <v>2562</v>
      </c>
      <c r="H7" s="33"/>
      <c r="I7" s="37">
        <f>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22" t="s">
        <v>197</v>
      </c>
      <c r="B12" s="123"/>
      <c r="C12" s="124" t="s">
        <v>0</v>
      </c>
      <c r="D12" s="124"/>
      <c r="E12" s="125"/>
      <c r="F12" s="125"/>
      <c r="H12" s="125"/>
    </row>
    <row r="13" spans="1:16" ht="30">
      <c r="A13" s="126" t="s">
        <v>1</v>
      </c>
      <c r="B13" s="126" t="s">
        <v>3</v>
      </c>
      <c r="C13" s="126" t="s">
        <v>4</v>
      </c>
      <c r="D13" s="126" t="s">
        <v>16</v>
      </c>
      <c r="E13" s="126" t="s">
        <v>172</v>
      </c>
      <c r="F13" s="126" t="s">
        <v>173</v>
      </c>
      <c r="G13" s="126" t="s">
        <v>171</v>
      </c>
      <c r="H13" s="126" t="s">
        <v>72</v>
      </c>
      <c r="I13" s="127" t="s">
        <v>174</v>
      </c>
      <c r="J13" s="126" t="s">
        <v>5</v>
      </c>
      <c r="K13" s="126" t="s">
        <v>38</v>
      </c>
      <c r="L13" s="126" t="s">
        <v>6</v>
      </c>
      <c r="M13" s="127" t="s">
        <v>175</v>
      </c>
      <c r="N13" s="127" t="s">
        <v>176</v>
      </c>
      <c r="O13" s="127" t="s">
        <v>177</v>
      </c>
      <c r="P13" s="127" t="s">
        <v>178</v>
      </c>
    </row>
    <row r="14" spans="1:16" ht="26.25" thickBot="1">
      <c r="A14" s="27" t="s">
        <v>42</v>
      </c>
      <c r="B14" s="27" t="s">
        <v>36</v>
      </c>
      <c r="C14" s="27"/>
      <c r="D14" s="27"/>
      <c r="E14" s="27"/>
      <c r="F14" s="27"/>
      <c r="G14" s="27"/>
      <c r="H14" s="27" t="s">
        <v>179</v>
      </c>
      <c r="I14" s="128"/>
      <c r="J14" s="27"/>
      <c r="K14" s="28" t="s">
        <v>80</v>
      </c>
      <c r="L14" s="28" t="s">
        <v>80</v>
      </c>
      <c r="M14" s="128"/>
      <c r="N14" s="128"/>
      <c r="O14" s="128"/>
      <c r="P14" s="128"/>
    </row>
    <row r="15" spans="1:16" s="260" customFormat="1">
      <c r="A15"/>
      <c r="B15"/>
      <c r="C15"/>
      <c r="D15"/>
      <c r="E15"/>
      <c r="F15"/>
      <c r="G15"/>
      <c r="H15"/>
      <c r="I15"/>
      <c r="J15"/>
      <c r="K15"/>
      <c r="L15"/>
      <c r="M15"/>
      <c r="N15"/>
      <c r="O15"/>
      <c r="P15"/>
    </row>
    <row r="16" spans="1:16" s="260" customFormat="1" ht="15">
      <c r="A16" s="367"/>
      <c r="B16" s="367"/>
      <c r="C16" s="367"/>
      <c r="D16" s="367"/>
      <c r="E16" s="367"/>
      <c r="F16" s="367"/>
      <c r="G16" s="367"/>
      <c r="H16" s="367"/>
      <c r="I16" s="368"/>
      <c r="J16" s="367"/>
      <c r="K16" s="369"/>
      <c r="L16" s="369"/>
      <c r="M16" s="368"/>
      <c r="N16" s="368"/>
      <c r="O16" s="368"/>
      <c r="P16" s="368"/>
    </row>
    <row r="17" spans="1:16" ht="15">
      <c r="A17" s="29" t="s">
        <v>180</v>
      </c>
      <c r="B17" t="s">
        <v>91</v>
      </c>
      <c r="C17" s="129" t="s">
        <v>181</v>
      </c>
      <c r="D17" s="129">
        <v>2015</v>
      </c>
      <c r="E17" s="57">
        <v>0.75</v>
      </c>
      <c r="F17" s="130"/>
      <c r="G17" s="131">
        <v>0.95</v>
      </c>
      <c r="H17" s="130">
        <v>31.536000000000001</v>
      </c>
      <c r="I17" s="132">
        <v>0.98</v>
      </c>
      <c r="J17" s="37">
        <v>25</v>
      </c>
      <c r="K17" s="33">
        <v>300</v>
      </c>
      <c r="L17" s="133">
        <v>15</v>
      </c>
      <c r="M17" s="121">
        <v>1</v>
      </c>
      <c r="N17" s="134">
        <v>1</v>
      </c>
      <c r="O17" s="121">
        <v>1</v>
      </c>
      <c r="P17" s="121">
        <v>1</v>
      </c>
    </row>
    <row r="18" spans="1:16" ht="15">
      <c r="A18" s="29"/>
      <c r="B18" t="s">
        <v>132</v>
      </c>
      <c r="C18" s="135"/>
      <c r="D18" s="135"/>
      <c r="E18" s="57">
        <v>1</v>
      </c>
      <c r="F18" s="130"/>
      <c r="G18" s="131"/>
      <c r="H18" s="130"/>
      <c r="I18" s="132"/>
      <c r="J18" s="37"/>
      <c r="K18" s="33"/>
      <c r="L18" s="133"/>
      <c r="M18" s="121">
        <v>0.8</v>
      </c>
      <c r="N18" s="134">
        <v>0.5</v>
      </c>
      <c r="O18" s="121">
        <v>0.05</v>
      </c>
      <c r="P18" s="121">
        <v>0.35</v>
      </c>
    </row>
    <row r="19" spans="1:16" ht="15">
      <c r="A19" s="29" t="s">
        <v>182</v>
      </c>
      <c r="B19" t="s">
        <v>183</v>
      </c>
      <c r="C19" s="129" t="s">
        <v>181</v>
      </c>
      <c r="D19" s="129">
        <v>2015</v>
      </c>
      <c r="E19" s="136">
        <v>4.25</v>
      </c>
      <c r="F19" s="130"/>
      <c r="G19" s="131">
        <v>0.95</v>
      </c>
      <c r="H19" s="130">
        <v>31.536000000000001</v>
      </c>
      <c r="I19" s="132">
        <v>0.98</v>
      </c>
      <c r="J19" s="37">
        <v>25</v>
      </c>
      <c r="K19" s="33">
        <v>300</v>
      </c>
      <c r="L19" s="133">
        <v>15</v>
      </c>
      <c r="M19" s="121">
        <v>1</v>
      </c>
      <c r="N19" s="134">
        <v>1</v>
      </c>
      <c r="O19" s="121">
        <v>1</v>
      </c>
      <c r="P19" s="121">
        <v>1</v>
      </c>
    </row>
    <row r="20" spans="1:16" ht="15">
      <c r="A20" s="46"/>
      <c r="B20" s="119" t="s">
        <v>132</v>
      </c>
      <c r="C20" s="70"/>
      <c r="D20" s="70"/>
      <c r="E20" s="137">
        <v>1</v>
      </c>
      <c r="F20" s="138"/>
      <c r="G20" s="139"/>
      <c r="H20" s="74"/>
      <c r="I20" s="140"/>
      <c r="J20" s="102"/>
      <c r="K20" s="70"/>
      <c r="L20" s="141"/>
      <c r="M20" s="142">
        <v>0.8</v>
      </c>
      <c r="N20" s="143">
        <v>0.5</v>
      </c>
      <c r="O20" s="142">
        <v>0.05</v>
      </c>
      <c r="P20" s="142">
        <v>0.35</v>
      </c>
    </row>
    <row r="21" spans="1:16" s="260" customFormat="1" ht="15">
      <c r="A21" s="355"/>
      <c r="B21" s="356"/>
      <c r="C21" s="357"/>
      <c r="D21" s="357"/>
      <c r="E21" s="358"/>
      <c r="F21" s="359"/>
      <c r="G21" s="360"/>
      <c r="H21" s="361"/>
      <c r="I21" s="362"/>
      <c r="J21" s="363"/>
      <c r="K21" s="357"/>
      <c r="L21" s="364"/>
      <c r="M21" s="365"/>
      <c r="N21" s="366"/>
      <c r="O21" s="365"/>
      <c r="P21" s="365"/>
    </row>
    <row r="22" spans="1:16" s="260" customFormat="1" ht="15">
      <c r="A22" s="355"/>
      <c r="B22" s="356"/>
      <c r="C22" s="357"/>
      <c r="D22" s="357"/>
      <c r="E22" s="358"/>
      <c r="F22" s="359"/>
      <c r="G22" s="360"/>
      <c r="H22" s="361"/>
      <c r="I22" s="362"/>
      <c r="J22" s="363"/>
      <c r="K22" s="357"/>
      <c r="L22" s="364"/>
      <c r="M22" s="365"/>
      <c r="N22" s="366"/>
      <c r="O22" s="365"/>
      <c r="P22" s="365"/>
    </row>
    <row r="23" spans="1:16">
      <c r="A23" s="51" t="s">
        <v>184</v>
      </c>
      <c r="B23" s="51" t="s">
        <v>185</v>
      </c>
      <c r="C23" s="144" t="s">
        <v>186</v>
      </c>
      <c r="F23" s="57">
        <v>0.95</v>
      </c>
      <c r="G23" s="57">
        <v>0.15</v>
      </c>
      <c r="H23" s="130">
        <v>31.536000000000001</v>
      </c>
      <c r="I23" s="130"/>
      <c r="J23" s="37">
        <v>20</v>
      </c>
      <c r="K23" s="35">
        <v>237.55</v>
      </c>
      <c r="L23" s="35">
        <v>9.01</v>
      </c>
      <c r="M23" s="19"/>
      <c r="O23" s="19"/>
      <c r="P23" s="19"/>
    </row>
    <row r="24" spans="1:16">
      <c r="A24" s="73" t="s">
        <v>187</v>
      </c>
      <c r="B24" s="73" t="s">
        <v>185</v>
      </c>
      <c r="C24" s="145" t="s">
        <v>188</v>
      </c>
      <c r="D24" s="119"/>
      <c r="E24" s="119"/>
      <c r="F24" s="137">
        <v>0.95</v>
      </c>
      <c r="G24" s="137">
        <v>0.15</v>
      </c>
      <c r="H24" s="138">
        <v>31.536000000000001</v>
      </c>
      <c r="I24" s="138"/>
      <c r="J24" s="102">
        <v>20</v>
      </c>
      <c r="K24" s="146">
        <v>237.55</v>
      </c>
      <c r="L24" s="146">
        <v>9.01</v>
      </c>
      <c r="M24" s="45"/>
      <c r="N24" s="119"/>
      <c r="O24" s="45"/>
      <c r="P24" s="45"/>
    </row>
    <row r="25" spans="1:16">
      <c r="A25" s="51" t="s">
        <v>189</v>
      </c>
      <c r="B25" s="51" t="s">
        <v>181</v>
      </c>
      <c r="C25" s="52" t="s">
        <v>190</v>
      </c>
      <c r="D25" s="147">
        <v>2015</v>
      </c>
      <c r="E25" s="19"/>
      <c r="F25" s="57">
        <v>0.95</v>
      </c>
      <c r="G25" s="57">
        <v>0.15</v>
      </c>
      <c r="H25" s="130">
        <v>31.536000000000001</v>
      </c>
      <c r="I25" s="130"/>
      <c r="J25" s="37">
        <v>20</v>
      </c>
      <c r="K25" s="35">
        <v>237.55</v>
      </c>
      <c r="L25" s="35">
        <v>9.01</v>
      </c>
      <c r="M25" s="19"/>
      <c r="N25" s="19"/>
      <c r="O25" s="19"/>
      <c r="P25" s="19"/>
    </row>
    <row r="26" spans="1:16">
      <c r="A26" s="51" t="s">
        <v>191</v>
      </c>
      <c r="B26" s="51" t="s">
        <v>181</v>
      </c>
      <c r="C26" s="52" t="s">
        <v>192</v>
      </c>
      <c r="D26" s="147">
        <v>2015</v>
      </c>
      <c r="E26" s="19"/>
      <c r="F26" s="57">
        <v>0.95</v>
      </c>
      <c r="G26" s="57">
        <v>0.15</v>
      </c>
      <c r="H26" s="130">
        <v>31.536000000000001</v>
      </c>
      <c r="I26" s="130"/>
      <c r="J26" s="37">
        <v>20</v>
      </c>
      <c r="K26" s="35">
        <v>237.55</v>
      </c>
      <c r="L26" s="35">
        <v>9.01</v>
      </c>
      <c r="M26" s="19"/>
      <c r="N26" s="19"/>
      <c r="O26" s="19"/>
      <c r="P26" s="19"/>
    </row>
    <row r="27" spans="1:16">
      <c r="A27" s="51" t="s">
        <v>193</v>
      </c>
      <c r="B27" s="51" t="s">
        <v>181</v>
      </c>
      <c r="C27" s="52" t="s">
        <v>194</v>
      </c>
      <c r="D27" s="147">
        <v>2015</v>
      </c>
      <c r="E27" s="19"/>
      <c r="F27" s="57">
        <v>0.95</v>
      </c>
      <c r="G27" s="57">
        <v>0.15</v>
      </c>
      <c r="H27" s="130">
        <v>31.536000000000001</v>
      </c>
      <c r="I27" s="130"/>
      <c r="J27" s="37">
        <v>20</v>
      </c>
      <c r="K27" s="35">
        <v>237.55</v>
      </c>
      <c r="L27" s="35">
        <v>9.01</v>
      </c>
      <c r="M27" s="19"/>
      <c r="N27" s="19"/>
      <c r="O27" s="19"/>
      <c r="P27" s="19"/>
    </row>
    <row r="28" spans="1:16">
      <c r="A28" s="51" t="s">
        <v>195</v>
      </c>
      <c r="B28" s="51" t="s">
        <v>181</v>
      </c>
      <c r="C28" s="52" t="s">
        <v>196</v>
      </c>
      <c r="D28" s="147">
        <v>2015</v>
      </c>
      <c r="E28" s="19"/>
      <c r="F28" s="57">
        <v>0.95</v>
      </c>
      <c r="G28" s="57">
        <v>0.15</v>
      </c>
      <c r="H28" s="130">
        <v>31.536000000000001</v>
      </c>
      <c r="I28" s="130"/>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310" t="s">
        <v>18</v>
      </c>
      <c r="B32" s="264"/>
      <c r="C32" s="265"/>
      <c r="D32" s="265"/>
      <c r="E32" s="265"/>
      <c r="F32" s="265"/>
      <c r="G32" s="265"/>
      <c r="H32" s="265"/>
      <c r="I32" s="19"/>
      <c r="J32" s="19"/>
      <c r="K32" s="19"/>
      <c r="L32" s="19"/>
      <c r="M32" s="19"/>
      <c r="N32" s="19"/>
      <c r="O32" s="19"/>
    </row>
    <row r="33" spans="1:15">
      <c r="A33" s="266" t="s">
        <v>17</v>
      </c>
      <c r="B33" s="266" t="s">
        <v>1</v>
      </c>
      <c r="C33" s="266" t="s">
        <v>2</v>
      </c>
      <c r="D33" s="266" t="s">
        <v>19</v>
      </c>
      <c r="E33" s="266" t="s">
        <v>20</v>
      </c>
      <c r="F33" s="266" t="s">
        <v>21</v>
      </c>
      <c r="G33" s="266" t="s">
        <v>22</v>
      </c>
      <c r="H33" s="266" t="s">
        <v>23</v>
      </c>
      <c r="I33" s="19"/>
      <c r="J33" s="19"/>
      <c r="K33" s="19"/>
      <c r="L33" s="19"/>
      <c r="M33" s="19"/>
      <c r="N33" s="19"/>
      <c r="O33" s="19"/>
    </row>
    <row r="34" spans="1:15" ht="39" thickBot="1">
      <c r="A34" s="267" t="s">
        <v>209</v>
      </c>
      <c r="B34" s="267" t="s">
        <v>30</v>
      </c>
      <c r="C34" s="267" t="s">
        <v>31</v>
      </c>
      <c r="D34" s="267" t="s">
        <v>32</v>
      </c>
      <c r="E34" s="267" t="s">
        <v>33</v>
      </c>
      <c r="F34" s="267" t="s">
        <v>44</v>
      </c>
      <c r="G34" s="267" t="s">
        <v>43</v>
      </c>
      <c r="H34" s="267" t="s">
        <v>34</v>
      </c>
      <c r="I34" s="19"/>
      <c r="J34" s="19"/>
      <c r="K34" s="19"/>
      <c r="L34" s="19"/>
      <c r="M34" s="19"/>
      <c r="N34" s="19"/>
      <c r="O34" s="19"/>
    </row>
    <row r="35" spans="1:15">
      <c r="A35" s="268" t="s">
        <v>210</v>
      </c>
      <c r="B35" s="273" t="s">
        <v>90</v>
      </c>
      <c r="C35" s="268" t="s">
        <v>169</v>
      </c>
      <c r="D35" s="270" t="s">
        <v>39</v>
      </c>
      <c r="E35" s="269" t="s">
        <v>211</v>
      </c>
      <c r="F35" s="270" t="s">
        <v>274</v>
      </c>
      <c r="G35" s="270"/>
      <c r="H35" s="273"/>
      <c r="I35" s="19"/>
      <c r="J35" s="19"/>
      <c r="K35" s="19"/>
      <c r="L35" s="19"/>
      <c r="M35" s="19"/>
      <c r="N35" s="19"/>
      <c r="O35" s="19"/>
    </row>
    <row r="36" spans="1:15">
      <c r="A36" s="274"/>
      <c r="B36" s="269" t="s">
        <v>168</v>
      </c>
      <c r="C36" s="268" t="s">
        <v>170</v>
      </c>
      <c r="D36" s="270" t="s">
        <v>39</v>
      </c>
      <c r="E36" s="269" t="s">
        <v>211</v>
      </c>
      <c r="F36" s="270" t="s">
        <v>274</v>
      </c>
      <c r="G36" s="270"/>
      <c r="H36" s="273"/>
      <c r="I36" s="29"/>
      <c r="J36" s="19"/>
      <c r="K36" s="19"/>
      <c r="L36" s="19"/>
      <c r="M36" s="19"/>
      <c r="N36" s="19"/>
      <c r="O36" s="19"/>
    </row>
    <row r="37" spans="1:15" s="260" customFormat="1">
      <c r="A37"/>
      <c r="B37"/>
      <c r="C37"/>
      <c r="D37"/>
      <c r="E37"/>
      <c r="F37"/>
      <c r="G37"/>
      <c r="H37"/>
      <c r="I37"/>
      <c r="J37"/>
      <c r="K37"/>
      <c r="L37" s="19"/>
      <c r="M37" s="19"/>
      <c r="N37" s="19"/>
      <c r="O37" s="19"/>
    </row>
    <row r="38" spans="1:15" s="260" customFormat="1">
      <c r="A38" s="367"/>
      <c r="B38" s="367"/>
      <c r="C38" s="367"/>
      <c r="D38" s="367"/>
      <c r="E38" s="367"/>
      <c r="F38" s="367"/>
      <c r="G38" s="367"/>
      <c r="H38" s="367"/>
      <c r="I38" s="29"/>
      <c r="J38" s="19"/>
      <c r="K38" s="19"/>
      <c r="L38" s="19"/>
      <c r="M38" s="19"/>
      <c r="N38" s="19"/>
      <c r="O38" s="19"/>
    </row>
    <row r="39" spans="1:15">
      <c r="A39" s="268" t="s">
        <v>164</v>
      </c>
      <c r="B39" s="270" t="s">
        <v>180</v>
      </c>
      <c r="C39" s="269" t="s">
        <v>198</v>
      </c>
      <c r="D39" s="269" t="s">
        <v>39</v>
      </c>
      <c r="E39" s="269" t="s">
        <v>71</v>
      </c>
      <c r="F39" s="298"/>
      <c r="G39" s="298"/>
      <c r="H39" s="298"/>
      <c r="I39" s="19"/>
      <c r="J39" s="19"/>
      <c r="K39" s="19"/>
      <c r="L39" s="19"/>
      <c r="M39" s="19"/>
      <c r="N39" s="19"/>
      <c r="O39" s="19"/>
    </row>
    <row r="40" spans="1:15">
      <c r="A40" s="287"/>
      <c r="B40" s="270" t="s">
        <v>182</v>
      </c>
      <c r="C40" s="269" t="s">
        <v>199</v>
      </c>
      <c r="D40" s="269" t="s">
        <v>39</v>
      </c>
      <c r="E40" s="269" t="s">
        <v>71</v>
      </c>
      <c r="F40" s="298"/>
      <c r="G40" s="298"/>
      <c r="H40" s="298"/>
      <c r="I40" s="19"/>
      <c r="J40" s="19"/>
      <c r="K40" s="19"/>
      <c r="L40" s="19"/>
      <c r="M40" s="19"/>
      <c r="N40" s="19"/>
      <c r="O40" s="19"/>
    </row>
    <row r="41" spans="1:15" s="260" customFormat="1">
      <c r="A41" s="352"/>
      <c r="B41" s="309"/>
      <c r="C41" s="353"/>
      <c r="D41" s="353"/>
      <c r="E41" s="353"/>
      <c r="F41" s="354"/>
      <c r="G41" s="354"/>
      <c r="H41" s="354"/>
      <c r="I41" s="19"/>
      <c r="J41" s="19"/>
      <c r="K41" s="19"/>
      <c r="L41" s="19"/>
      <c r="M41" s="19"/>
      <c r="N41" s="19"/>
      <c r="O41" s="19"/>
    </row>
    <row r="42" spans="1:15" s="260" customFormat="1">
      <c r="A42" s="352"/>
      <c r="B42" s="309"/>
      <c r="C42" s="357"/>
      <c r="D42" s="353"/>
      <c r="E42" s="353"/>
      <c r="F42" s="354"/>
      <c r="G42" s="354"/>
      <c r="H42" s="354"/>
      <c r="I42" s="19"/>
      <c r="J42" s="19"/>
      <c r="K42" s="19"/>
      <c r="L42" s="19"/>
      <c r="M42" s="19"/>
      <c r="N42" s="19"/>
      <c r="O42" s="19"/>
    </row>
    <row r="43" spans="1:15">
      <c r="A43" s="268" t="s">
        <v>200</v>
      </c>
      <c r="B43" s="269" t="s">
        <v>184</v>
      </c>
      <c r="C43" s="269" t="s">
        <v>201</v>
      </c>
      <c r="D43" s="269" t="s">
        <v>39</v>
      </c>
      <c r="E43" s="269" t="s">
        <v>71</v>
      </c>
      <c r="F43" s="298"/>
      <c r="G43" s="298"/>
      <c r="H43" s="298"/>
      <c r="I43" s="19"/>
      <c r="J43" s="19"/>
      <c r="K43" s="19"/>
      <c r="L43" s="19"/>
      <c r="M43" s="19"/>
      <c r="N43" s="19"/>
      <c r="O43" s="19"/>
    </row>
    <row r="44" spans="1:15">
      <c r="A44" s="287"/>
      <c r="B44" s="269" t="s">
        <v>187</v>
      </c>
      <c r="C44" s="269" t="s">
        <v>202</v>
      </c>
      <c r="D44" s="269" t="s">
        <v>39</v>
      </c>
      <c r="E44" s="269" t="s">
        <v>71</v>
      </c>
      <c r="F44" s="298"/>
      <c r="G44" s="298"/>
      <c r="H44" s="298"/>
      <c r="I44" s="19"/>
      <c r="J44" s="19"/>
      <c r="K44" s="19"/>
      <c r="L44" s="19"/>
      <c r="M44" s="19"/>
      <c r="N44" s="19"/>
      <c r="O44" s="19"/>
    </row>
    <row r="45" spans="1:15">
      <c r="A45" s="287"/>
      <c r="B45" s="269" t="s">
        <v>189</v>
      </c>
      <c r="C45" s="269" t="s">
        <v>203</v>
      </c>
      <c r="D45" s="269" t="s">
        <v>39</v>
      </c>
      <c r="E45" s="269" t="s">
        <v>71</v>
      </c>
      <c r="F45" s="298"/>
      <c r="G45" s="298"/>
      <c r="H45" s="298"/>
      <c r="I45" s="19"/>
      <c r="J45" s="19"/>
      <c r="K45" s="19"/>
      <c r="L45" s="19"/>
      <c r="M45" s="19"/>
      <c r="N45" s="19"/>
      <c r="O45" s="19"/>
    </row>
    <row r="46" spans="1:15">
      <c r="A46" s="265"/>
      <c r="B46" s="269" t="s">
        <v>191</v>
      </c>
      <c r="C46" s="269" t="s">
        <v>204</v>
      </c>
      <c r="D46" s="269" t="s">
        <v>39</v>
      </c>
      <c r="E46" s="269" t="s">
        <v>71</v>
      </c>
      <c r="F46" s="298"/>
      <c r="G46" s="298"/>
      <c r="H46" s="298"/>
      <c r="I46" s="19"/>
      <c r="J46" s="19"/>
      <c r="K46" s="19"/>
      <c r="L46" s="19"/>
      <c r="M46" s="19"/>
      <c r="N46" s="19"/>
      <c r="O46" s="19"/>
    </row>
    <row r="47" spans="1:15">
      <c r="A47" s="265"/>
      <c r="B47" s="269" t="s">
        <v>193</v>
      </c>
      <c r="C47" s="269" t="s">
        <v>205</v>
      </c>
      <c r="D47" s="269" t="s">
        <v>39</v>
      </c>
      <c r="E47" s="269" t="s">
        <v>71</v>
      </c>
      <c r="F47" s="298"/>
      <c r="G47" s="298"/>
      <c r="H47" s="298"/>
      <c r="I47" s="19"/>
      <c r="J47" s="19"/>
      <c r="K47" s="19"/>
      <c r="L47" s="19"/>
      <c r="M47" s="19"/>
      <c r="N47" s="19"/>
      <c r="O47" s="19"/>
    </row>
    <row r="48" spans="1:15">
      <c r="A48" s="265"/>
      <c r="B48" s="269" t="s">
        <v>195</v>
      </c>
      <c r="C48" s="269" t="s">
        <v>206</v>
      </c>
      <c r="D48" s="269" t="s">
        <v>39</v>
      </c>
      <c r="E48" s="269" t="s">
        <v>71</v>
      </c>
      <c r="F48" s="270"/>
      <c r="G48" s="270"/>
      <c r="H48" s="273"/>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64" t="s">
        <v>8</v>
      </c>
      <c r="B52" s="278"/>
      <c r="C52" s="278"/>
      <c r="D52" s="278"/>
      <c r="E52" s="278"/>
      <c r="F52" s="278"/>
      <c r="G52" s="278"/>
      <c r="H52" s="278"/>
      <c r="I52" s="19"/>
      <c r="J52" s="19"/>
      <c r="K52" s="19"/>
      <c r="L52" s="19"/>
      <c r="M52" s="19"/>
      <c r="N52" s="19"/>
      <c r="O52" s="19"/>
    </row>
    <row r="53" spans="1:15">
      <c r="A53" s="279" t="s">
        <v>9</v>
      </c>
      <c r="B53" s="279" t="s">
        <v>7</v>
      </c>
      <c r="C53" s="279" t="s">
        <v>10</v>
      </c>
      <c r="D53" s="280" t="s">
        <v>11</v>
      </c>
      <c r="E53" s="280" t="s">
        <v>12</v>
      </c>
      <c r="F53" s="280" t="s">
        <v>13</v>
      </c>
      <c r="G53" s="280" t="s">
        <v>14</v>
      </c>
      <c r="H53" s="280" t="s">
        <v>15</v>
      </c>
      <c r="I53" s="19"/>
      <c r="J53" s="19"/>
      <c r="K53" s="19"/>
      <c r="L53" s="19"/>
      <c r="M53" s="19"/>
      <c r="N53" s="19"/>
      <c r="O53" s="19"/>
    </row>
    <row r="54" spans="1:15" ht="51.75" thickBot="1">
      <c r="A54" s="281" t="s">
        <v>208</v>
      </c>
      <c r="B54" s="281" t="s">
        <v>24</v>
      </c>
      <c r="C54" s="281" t="s">
        <v>25</v>
      </c>
      <c r="D54" s="281" t="s">
        <v>11</v>
      </c>
      <c r="E54" s="281" t="s">
        <v>26</v>
      </c>
      <c r="F54" s="281" t="s">
        <v>27</v>
      </c>
      <c r="G54" s="281" t="s">
        <v>28</v>
      </c>
      <c r="H54" s="281" t="s">
        <v>29</v>
      </c>
      <c r="I54" s="19"/>
      <c r="J54" s="19"/>
      <c r="K54" s="19"/>
      <c r="L54" s="19"/>
      <c r="M54" s="19"/>
      <c r="N54" s="19"/>
      <c r="O54" s="19"/>
    </row>
    <row r="55" spans="1:15">
      <c r="A55" s="311" t="s">
        <v>383</v>
      </c>
      <c r="B55" s="311" t="s">
        <v>181</v>
      </c>
      <c r="C55" s="311" t="s">
        <v>207</v>
      </c>
      <c r="D55" s="311" t="s">
        <v>39</v>
      </c>
      <c r="E55" s="265"/>
      <c r="F55" s="265" t="s">
        <v>40</v>
      </c>
      <c r="G55" s="265"/>
      <c r="H55" s="265"/>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44"/>
  <sheetViews>
    <sheetView workbookViewId="0">
      <selection activeCell="B23" sqref="B23"/>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2" spans="2:15" ht="15">
      <c r="B2" s="260"/>
      <c r="C2" s="260"/>
      <c r="D2" s="260"/>
      <c r="E2" s="243" t="s">
        <v>0</v>
      </c>
      <c r="F2" s="243"/>
      <c r="G2" s="239"/>
      <c r="H2" s="239"/>
      <c r="I2" s="239"/>
      <c r="J2" s="239"/>
    </row>
    <row r="3" spans="2:15" ht="25.5">
      <c r="B3" s="244" t="s">
        <v>1</v>
      </c>
      <c r="C3" s="244" t="s">
        <v>2</v>
      </c>
      <c r="D3" s="244" t="s">
        <v>3</v>
      </c>
      <c r="E3" s="244" t="s">
        <v>4</v>
      </c>
      <c r="F3" s="245" t="s">
        <v>173</v>
      </c>
      <c r="G3" s="245" t="s">
        <v>38</v>
      </c>
      <c r="H3" s="245" t="s">
        <v>37</v>
      </c>
      <c r="I3" s="245" t="s">
        <v>6</v>
      </c>
      <c r="J3" s="245" t="s">
        <v>72</v>
      </c>
      <c r="K3" s="255" t="s">
        <v>340</v>
      </c>
      <c r="L3" s="255" t="s">
        <v>77</v>
      </c>
      <c r="M3" s="250" t="s">
        <v>79</v>
      </c>
      <c r="N3" s="258" t="s">
        <v>341</v>
      </c>
      <c r="O3" s="250" t="s">
        <v>348</v>
      </c>
    </row>
    <row r="4" spans="2:15" ht="13.5" thickBot="1">
      <c r="B4" s="246"/>
      <c r="C4" s="246"/>
      <c r="D4" s="246"/>
      <c r="E4" s="246" t="s">
        <v>337</v>
      </c>
      <c r="F4" s="241"/>
      <c r="G4" s="241" t="s">
        <v>338</v>
      </c>
      <c r="H4" s="241" t="s">
        <v>339</v>
      </c>
      <c r="I4" s="241" t="s">
        <v>338</v>
      </c>
      <c r="J4" s="241" t="s">
        <v>179</v>
      </c>
      <c r="K4" s="252"/>
      <c r="L4" s="252"/>
      <c r="M4" s="251"/>
      <c r="N4" s="260"/>
      <c r="O4" s="260"/>
    </row>
    <row r="5" spans="2:15" ht="15">
      <c r="B5" s="263" t="s">
        <v>347</v>
      </c>
      <c r="C5" s="261" t="s">
        <v>346</v>
      </c>
      <c r="D5" s="326" t="s">
        <v>96</v>
      </c>
      <c r="E5" s="240" t="str">
        <f>E8</f>
        <v>EUCAPDUM</v>
      </c>
      <c r="F5" s="242">
        <v>1</v>
      </c>
      <c r="G5" s="242">
        <v>1E-4</v>
      </c>
      <c r="H5" s="247"/>
      <c r="I5" s="242">
        <v>1.0000000000000001E-5</v>
      </c>
      <c r="J5" s="240">
        <v>31.536000000000001</v>
      </c>
      <c r="M5" s="257">
        <v>10</v>
      </c>
      <c r="O5" s="260">
        <v>1</v>
      </c>
    </row>
    <row r="6" spans="2:15" s="260" customFormat="1" ht="15">
      <c r="B6" s="263"/>
      <c r="C6" s="261"/>
      <c r="D6" s="338" t="s">
        <v>183</v>
      </c>
      <c r="E6" s="240"/>
      <c r="F6" s="242"/>
      <c r="G6" s="242"/>
      <c r="H6" s="247"/>
      <c r="I6" s="242"/>
      <c r="J6" s="240"/>
      <c r="M6" s="257"/>
    </row>
    <row r="7" spans="2:15" s="260" customFormat="1" ht="15">
      <c r="B7" s="263"/>
      <c r="C7" s="261"/>
      <c r="D7" s="338" t="s">
        <v>74</v>
      </c>
      <c r="E7" s="240"/>
      <c r="F7" s="242"/>
      <c r="G7" s="242"/>
      <c r="H7" s="247"/>
      <c r="I7" s="242"/>
      <c r="J7" s="240"/>
      <c r="M7" s="257"/>
    </row>
    <row r="8" spans="2:15" ht="15">
      <c r="B8" s="262" t="s">
        <v>342</v>
      </c>
      <c r="C8" s="254" t="s">
        <v>343</v>
      </c>
      <c r="D8" s="253"/>
      <c r="E8" s="325" t="str">
        <f>C36</f>
        <v>EUCAPDUM</v>
      </c>
      <c r="F8" s="253"/>
      <c r="G8" s="256"/>
      <c r="H8" s="256"/>
      <c r="I8" s="256"/>
      <c r="J8" s="256">
        <v>31.536000000000001</v>
      </c>
      <c r="K8" s="259">
        <v>1E-4</v>
      </c>
      <c r="L8" s="259">
        <v>1E-4</v>
      </c>
      <c r="M8" s="257">
        <v>10</v>
      </c>
      <c r="N8" s="259">
        <v>1E-4</v>
      </c>
      <c r="O8" s="257">
        <v>1</v>
      </c>
    </row>
    <row r="9" spans="2:15" s="260" customFormat="1" ht="15">
      <c r="B9" s="343" t="str">
        <f>C25</f>
        <v>ELE_VAR_1USE</v>
      </c>
      <c r="C9" s="254" t="str">
        <f>D25</f>
        <v>Electricity from VAR RES and VAR IMP Directly Useful</v>
      </c>
      <c r="D9" s="253"/>
      <c r="E9" s="325" t="str">
        <f>C37</f>
        <v>EUVAR1DUM</v>
      </c>
      <c r="F9" s="253"/>
      <c r="G9" s="256"/>
      <c r="H9" s="256"/>
      <c r="I9" s="256"/>
      <c r="J9" s="256">
        <v>31.536000000000001</v>
      </c>
      <c r="K9" s="259">
        <v>1E-4</v>
      </c>
      <c r="L9" s="259">
        <v>1E-4</v>
      </c>
      <c r="M9" s="257">
        <v>10</v>
      </c>
      <c r="N9" s="259">
        <v>1E-4</v>
      </c>
      <c r="O9" s="257">
        <v>1</v>
      </c>
    </row>
    <row r="10" spans="2:15" s="260" customFormat="1" ht="15">
      <c r="B10" s="343" t="str">
        <f t="shared" ref="B10:C11" si="0">C26</f>
        <v>ELE_VAR_T1</v>
      </c>
      <c r="C10" s="254" t="str">
        <f t="shared" si="0"/>
        <v>Var Use Regression Term1</v>
      </c>
      <c r="D10" s="253"/>
      <c r="E10" s="325" t="str">
        <f t="shared" ref="E10:E11" si="1">C38</f>
        <v>EUVART1DUM</v>
      </c>
      <c r="F10" s="253"/>
      <c r="G10" s="256"/>
      <c r="H10" s="256"/>
      <c r="I10" s="256"/>
      <c r="J10" s="256">
        <v>31.536000000000001</v>
      </c>
      <c r="K10" s="259">
        <v>1E-4</v>
      </c>
      <c r="L10" s="259">
        <v>1E-4</v>
      </c>
      <c r="M10" s="257">
        <v>10</v>
      </c>
      <c r="N10" s="259">
        <v>1E-4</v>
      </c>
      <c r="O10" s="257">
        <v>1</v>
      </c>
    </row>
    <row r="11" spans="2:15" s="260" customFormat="1" ht="15">
      <c r="B11" s="343" t="str">
        <f t="shared" si="0"/>
        <v>ELE_VAR_T2</v>
      </c>
      <c r="C11" s="254" t="str">
        <f t="shared" si="0"/>
        <v>Var Use Regression Term2</v>
      </c>
      <c r="D11" s="253"/>
      <c r="E11" s="325" t="str">
        <f t="shared" si="1"/>
        <v>EUVART2DUM</v>
      </c>
      <c r="F11" s="253"/>
      <c r="G11" s="256"/>
      <c r="H11" s="256"/>
      <c r="I11" s="256"/>
      <c r="J11" s="256">
        <v>31.536000000000001</v>
      </c>
      <c r="K11" s="259">
        <v>1E-4</v>
      </c>
      <c r="L11" s="259">
        <v>1E-4</v>
      </c>
      <c r="M11" s="257">
        <v>10</v>
      </c>
      <c r="N11" s="259">
        <v>1E-4</v>
      </c>
      <c r="O11" s="257">
        <v>1</v>
      </c>
    </row>
    <row r="12" spans="2:15" s="260" customFormat="1" ht="15">
      <c r="B12" s="343" t="str">
        <f>C28</f>
        <v>ELE_VAR_2EXC</v>
      </c>
      <c r="C12" s="254" t="str">
        <f>D28</f>
        <v>Electricity from VAR RES and VAR IMP Excess</v>
      </c>
      <c r="D12" s="253"/>
      <c r="E12" s="325" t="str">
        <f t="shared" ref="E12" si="2">C40</f>
        <v>EUVAR2DUM</v>
      </c>
      <c r="F12" s="253"/>
      <c r="G12" s="256"/>
      <c r="H12" s="256"/>
      <c r="I12" s="256"/>
      <c r="J12" s="256">
        <v>31.536000000000001</v>
      </c>
      <c r="K12" s="259">
        <v>1E-4</v>
      </c>
      <c r="L12" s="259">
        <v>1E-4</v>
      </c>
      <c r="M12" s="257">
        <v>10</v>
      </c>
      <c r="N12" s="259">
        <v>1E-4</v>
      </c>
      <c r="O12" s="257">
        <v>1</v>
      </c>
    </row>
    <row r="13" spans="2:15" s="260" customFormat="1" ht="15">
      <c r="B13" s="343" t="str">
        <f t="shared" ref="B13:C13" si="3">C29</f>
        <v>ELE_VAR_3RES</v>
      </c>
      <c r="C13" s="254" t="str">
        <f t="shared" si="3"/>
        <v>Electricity from VAR RES Total</v>
      </c>
      <c r="D13" s="253"/>
      <c r="E13" s="325" t="str">
        <f t="shared" ref="E13" si="4">C41</f>
        <v>EUVAR3DUM</v>
      </c>
      <c r="F13" s="253"/>
      <c r="G13" s="256"/>
      <c r="H13" s="256"/>
      <c r="I13" s="256"/>
      <c r="J13" s="256">
        <v>31.536000000000001</v>
      </c>
      <c r="K13" s="259">
        <v>1E-4</v>
      </c>
      <c r="L13" s="259">
        <v>1E-4</v>
      </c>
      <c r="M13" s="257">
        <v>10</v>
      </c>
      <c r="N13" s="259">
        <v>1E-4</v>
      </c>
      <c r="O13" s="257">
        <v>1</v>
      </c>
    </row>
    <row r="14" spans="2:15" s="260" customFormat="1" ht="15">
      <c r="B14" s="343" t="str">
        <f t="shared" ref="B14" si="5">C30</f>
        <v>ELE_VAR_3WIWA</v>
      </c>
      <c r="C14" s="254" t="str">
        <f t="shared" ref="C14" si="6">D30</f>
        <v>Electricity from VAR Wind and Wave</v>
      </c>
      <c r="D14" s="253"/>
      <c r="E14" s="325" t="str">
        <f t="shared" ref="E14" si="7">C42</f>
        <v>EUVAR3WIWADUM</v>
      </c>
      <c r="F14" s="253"/>
      <c r="G14" s="256"/>
      <c r="H14" s="256"/>
      <c r="I14" s="256"/>
      <c r="J14" s="256">
        <v>31.536000000000001</v>
      </c>
      <c r="K14" s="259">
        <v>1E-4</v>
      </c>
      <c r="L14" s="259">
        <v>1E-4</v>
      </c>
      <c r="M14" s="257">
        <v>10</v>
      </c>
      <c r="N14" s="259">
        <v>1E-4</v>
      </c>
      <c r="O14" s="257">
        <v>1</v>
      </c>
    </row>
    <row r="15" spans="2:15" s="260" customFormat="1" ht="15">
      <c r="B15" s="343" t="str">
        <f t="shared" ref="B15:C16" si="8">C31</f>
        <v>ELE_VAR_4IMP</v>
      </c>
      <c r="C15" s="254" t="str">
        <f t="shared" si="8"/>
        <v>Electricity from VAR IMP Total</v>
      </c>
      <c r="D15" s="253"/>
      <c r="E15" s="325" t="str">
        <f>C43</f>
        <v>EUVAR4DUM</v>
      </c>
      <c r="F15" s="253"/>
      <c r="G15" s="256"/>
      <c r="H15" s="256"/>
      <c r="I15" s="256"/>
      <c r="J15" s="256">
        <v>31.536000000000001</v>
      </c>
      <c r="K15" s="259">
        <v>1E-4</v>
      </c>
      <c r="L15" s="259">
        <v>1E-4</v>
      </c>
      <c r="M15" s="257">
        <v>10</v>
      </c>
      <c r="N15" s="259">
        <v>1E-4</v>
      </c>
      <c r="O15" s="257">
        <v>1</v>
      </c>
    </row>
    <row r="16" spans="2:15" s="260" customFormat="1" ht="15">
      <c r="B16" s="343" t="str">
        <f t="shared" si="8"/>
        <v>ELE_VAR_5DSM</v>
      </c>
      <c r="C16" s="254" t="str">
        <f t="shared" si="8"/>
        <v>Electricity from Demand Side Management</v>
      </c>
      <c r="D16" s="253"/>
      <c r="E16" s="325" t="str">
        <f t="shared" ref="E16" si="9">C44</f>
        <v>EUVAR5DUM</v>
      </c>
      <c r="F16" s="253"/>
      <c r="G16" s="256"/>
      <c r="H16" s="256"/>
      <c r="I16" s="256"/>
      <c r="J16" s="256">
        <v>31.536000000000001</v>
      </c>
      <c r="K16" s="259">
        <v>1E-4</v>
      </c>
      <c r="L16" s="259">
        <v>1E-4</v>
      </c>
      <c r="M16" s="257">
        <v>10</v>
      </c>
      <c r="N16" s="259">
        <v>1E-4</v>
      </c>
      <c r="O16" s="257">
        <v>1</v>
      </c>
    </row>
    <row r="20" spans="2:14">
      <c r="B20" s="248"/>
      <c r="C20" s="248"/>
      <c r="D20" s="248"/>
      <c r="E20" s="248"/>
      <c r="F20" s="248"/>
      <c r="G20" s="248"/>
      <c r="H20" s="248"/>
      <c r="I20" s="248"/>
      <c r="J20" s="248"/>
      <c r="K20" s="249"/>
      <c r="L20" s="249"/>
      <c r="M20" s="249"/>
      <c r="N20" s="248"/>
    </row>
    <row r="21" spans="2:14">
      <c r="B21" s="312" t="s">
        <v>18</v>
      </c>
      <c r="C21" s="298"/>
      <c r="D21" s="298"/>
      <c r="E21" s="298"/>
      <c r="F21" s="298"/>
      <c r="G21" s="298"/>
      <c r="H21" s="298"/>
      <c r="I21" s="298"/>
      <c r="J21" s="248"/>
      <c r="K21" s="248"/>
      <c r="L21" s="248"/>
      <c r="M21" s="248"/>
      <c r="N21" s="248"/>
    </row>
    <row r="22" spans="2:14">
      <c r="B22" s="313" t="s">
        <v>17</v>
      </c>
      <c r="C22" s="314" t="s">
        <v>1</v>
      </c>
      <c r="D22" s="314" t="s">
        <v>2</v>
      </c>
      <c r="E22" s="314" t="s">
        <v>19</v>
      </c>
      <c r="F22" s="314" t="s">
        <v>20</v>
      </c>
      <c r="G22" s="314" t="s">
        <v>21</v>
      </c>
      <c r="H22" s="314" t="s">
        <v>22</v>
      </c>
      <c r="I22" s="315" t="s">
        <v>23</v>
      </c>
      <c r="J22" s="248"/>
      <c r="K22" s="248"/>
      <c r="L22" s="248"/>
      <c r="M22" s="248"/>
      <c r="N22" s="248"/>
    </row>
    <row r="23" spans="2:14" s="260" customFormat="1" ht="15">
      <c r="B23" s="316" t="s">
        <v>164</v>
      </c>
      <c r="C23" s="318" t="s">
        <v>347</v>
      </c>
      <c r="D23" s="317" t="s">
        <v>346</v>
      </c>
      <c r="E23" s="317" t="s">
        <v>39</v>
      </c>
      <c r="F23" s="317" t="s">
        <v>71</v>
      </c>
      <c r="G23" s="317" t="s">
        <v>40</v>
      </c>
      <c r="H23" s="337"/>
      <c r="I23" s="319"/>
    </row>
    <row r="24" spans="2:14">
      <c r="B24" s="316" t="s">
        <v>164</v>
      </c>
      <c r="C24" s="320" t="s">
        <v>342</v>
      </c>
      <c r="D24" s="319" t="s">
        <v>343</v>
      </c>
      <c r="E24" s="319" t="s">
        <v>39</v>
      </c>
      <c r="F24" s="319" t="s">
        <v>71</v>
      </c>
      <c r="G24" s="319" t="s">
        <v>40</v>
      </c>
      <c r="H24" s="319"/>
      <c r="I24" s="319"/>
    </row>
    <row r="25" spans="2:14" s="260" customFormat="1">
      <c r="B25" s="316" t="s">
        <v>164</v>
      </c>
      <c r="C25" s="320" t="s">
        <v>361</v>
      </c>
      <c r="D25" s="319" t="s">
        <v>359</v>
      </c>
      <c r="E25" s="319" t="s">
        <v>39</v>
      </c>
      <c r="F25" s="319" t="s">
        <v>71</v>
      </c>
      <c r="G25" s="319" t="s">
        <v>40</v>
      </c>
      <c r="H25" s="319"/>
      <c r="I25" s="319"/>
    </row>
    <row r="26" spans="2:14" s="260" customFormat="1">
      <c r="B26" s="316" t="s">
        <v>164</v>
      </c>
      <c r="C26" s="320" t="s">
        <v>384</v>
      </c>
      <c r="D26" s="316" t="s">
        <v>386</v>
      </c>
      <c r="E26" s="319" t="s">
        <v>39</v>
      </c>
      <c r="F26" s="319" t="s">
        <v>71</v>
      </c>
      <c r="G26" s="319" t="s">
        <v>40</v>
      </c>
      <c r="H26" s="319"/>
      <c r="I26" s="319"/>
    </row>
    <row r="27" spans="2:14" s="260" customFormat="1">
      <c r="B27" s="316" t="s">
        <v>164</v>
      </c>
      <c r="C27" s="320" t="s">
        <v>385</v>
      </c>
      <c r="D27" s="316" t="s">
        <v>387</v>
      </c>
      <c r="E27" s="319" t="s">
        <v>39</v>
      </c>
      <c r="F27" s="319" t="s">
        <v>71</v>
      </c>
      <c r="G27" s="319" t="s">
        <v>40</v>
      </c>
      <c r="H27" s="319"/>
      <c r="I27" s="319"/>
    </row>
    <row r="28" spans="2:14" s="260" customFormat="1">
      <c r="B28" s="316" t="s">
        <v>164</v>
      </c>
      <c r="C28" s="320" t="s">
        <v>362</v>
      </c>
      <c r="D28" s="319" t="s">
        <v>360</v>
      </c>
      <c r="E28" s="319" t="s">
        <v>39</v>
      </c>
      <c r="F28" s="319" t="s">
        <v>71</v>
      </c>
      <c r="G28" s="319" t="s">
        <v>40</v>
      </c>
      <c r="H28" s="319"/>
      <c r="I28" s="319"/>
    </row>
    <row r="29" spans="2:14" s="260" customFormat="1">
      <c r="B29" s="316" t="s">
        <v>164</v>
      </c>
      <c r="C29" s="320" t="s">
        <v>372</v>
      </c>
      <c r="D29" s="319" t="s">
        <v>374</v>
      </c>
      <c r="E29" s="319" t="s">
        <v>39</v>
      </c>
      <c r="F29" s="319" t="s">
        <v>71</v>
      </c>
      <c r="G29" s="319" t="s">
        <v>40</v>
      </c>
      <c r="H29" s="319"/>
      <c r="I29" s="319"/>
    </row>
    <row r="30" spans="2:14" s="260" customFormat="1">
      <c r="B30" s="316" t="s">
        <v>164</v>
      </c>
      <c r="C30" s="320" t="s">
        <v>392</v>
      </c>
      <c r="D30" s="319" t="s">
        <v>393</v>
      </c>
      <c r="E30" s="319" t="s">
        <v>39</v>
      </c>
      <c r="F30" s="319" t="s">
        <v>71</v>
      </c>
      <c r="G30" s="319" t="s">
        <v>40</v>
      </c>
      <c r="H30" s="319"/>
      <c r="I30" s="319"/>
    </row>
    <row r="31" spans="2:14" s="260" customFormat="1">
      <c r="B31" s="316" t="s">
        <v>164</v>
      </c>
      <c r="C31" s="320" t="s">
        <v>373</v>
      </c>
      <c r="D31" s="319" t="s">
        <v>371</v>
      </c>
      <c r="E31" s="319" t="s">
        <v>39</v>
      </c>
      <c r="F31" s="319" t="s">
        <v>71</v>
      </c>
      <c r="G31" s="319" t="s">
        <v>40</v>
      </c>
      <c r="H31" s="319"/>
      <c r="I31" s="319"/>
    </row>
    <row r="32" spans="2:14" s="260" customFormat="1">
      <c r="B32" s="316" t="s">
        <v>164</v>
      </c>
      <c r="C32" s="320" t="s">
        <v>377</v>
      </c>
      <c r="D32" s="319" t="s">
        <v>378</v>
      </c>
      <c r="E32" s="319" t="s">
        <v>39</v>
      </c>
      <c r="F32" s="319" t="s">
        <v>71</v>
      </c>
      <c r="G32" s="319" t="s">
        <v>40</v>
      </c>
      <c r="H32" s="319"/>
      <c r="I32" s="319"/>
    </row>
    <row r="34" spans="2:9">
      <c r="B34" s="321" t="s">
        <v>8</v>
      </c>
      <c r="C34" s="298"/>
      <c r="D34" s="298"/>
      <c r="E34" s="298"/>
      <c r="F34" s="298"/>
      <c r="G34" s="298"/>
      <c r="H34" s="298"/>
      <c r="I34" s="298"/>
    </row>
    <row r="35" spans="2:9" ht="13.5" thickBot="1">
      <c r="B35" s="322" t="s">
        <v>9</v>
      </c>
      <c r="C35" s="322" t="s">
        <v>7</v>
      </c>
      <c r="D35" s="322" t="s">
        <v>10</v>
      </c>
      <c r="E35" s="323" t="s">
        <v>11</v>
      </c>
      <c r="F35" s="323" t="s">
        <v>12</v>
      </c>
      <c r="G35" s="323" t="s">
        <v>13</v>
      </c>
      <c r="H35" s="323" t="s">
        <v>14</v>
      </c>
      <c r="I35" s="323" t="s">
        <v>15</v>
      </c>
    </row>
    <row r="36" spans="2:9">
      <c r="B36" s="324" t="s">
        <v>84</v>
      </c>
      <c r="C36" s="320" t="s">
        <v>344</v>
      </c>
      <c r="D36" s="320" t="s">
        <v>345</v>
      </c>
      <c r="E36" s="320" t="s">
        <v>39</v>
      </c>
      <c r="F36" s="325"/>
      <c r="G36" s="325"/>
      <c r="H36" s="325"/>
      <c r="I36" s="325"/>
    </row>
    <row r="37" spans="2:9" s="260" customFormat="1">
      <c r="B37" s="324" t="s">
        <v>84</v>
      </c>
      <c r="C37" s="320" t="s">
        <v>363</v>
      </c>
      <c r="D37" s="320" t="s">
        <v>365</v>
      </c>
      <c r="E37" s="320" t="s">
        <v>39</v>
      </c>
      <c r="F37" s="325"/>
      <c r="G37" s="325"/>
      <c r="H37" s="325"/>
      <c r="I37" s="325"/>
    </row>
    <row r="38" spans="2:9" s="260" customFormat="1">
      <c r="B38" s="324" t="s">
        <v>84</v>
      </c>
      <c r="C38" s="320" t="s">
        <v>388</v>
      </c>
      <c r="D38" s="320" t="s">
        <v>390</v>
      </c>
      <c r="E38" s="320" t="s">
        <v>39</v>
      </c>
      <c r="F38" s="325"/>
      <c r="G38" s="325"/>
      <c r="H38" s="325"/>
      <c r="I38" s="325"/>
    </row>
    <row r="39" spans="2:9" s="260" customFormat="1">
      <c r="B39" s="324" t="s">
        <v>84</v>
      </c>
      <c r="C39" s="320" t="s">
        <v>389</v>
      </c>
      <c r="D39" s="320" t="s">
        <v>391</v>
      </c>
      <c r="E39" s="320" t="s">
        <v>39</v>
      </c>
      <c r="F39" s="325"/>
      <c r="G39" s="325"/>
      <c r="H39" s="325"/>
      <c r="I39" s="325"/>
    </row>
    <row r="40" spans="2:9" s="260" customFormat="1">
      <c r="B40" s="324" t="s">
        <v>84</v>
      </c>
      <c r="C40" s="320" t="s">
        <v>364</v>
      </c>
      <c r="D40" s="320" t="s">
        <v>366</v>
      </c>
      <c r="E40" s="320" t="s">
        <v>39</v>
      </c>
      <c r="F40" s="325"/>
      <c r="G40" s="325"/>
      <c r="H40" s="325"/>
      <c r="I40" s="325"/>
    </row>
    <row r="41" spans="2:9" s="260" customFormat="1">
      <c r="B41" s="324" t="s">
        <v>84</v>
      </c>
      <c r="C41" s="320" t="s">
        <v>367</v>
      </c>
      <c r="D41" s="320" t="s">
        <v>369</v>
      </c>
      <c r="E41" s="320" t="s">
        <v>39</v>
      </c>
      <c r="F41" s="325"/>
      <c r="G41" s="325"/>
      <c r="H41" s="325"/>
      <c r="I41" s="325"/>
    </row>
    <row r="42" spans="2:9" s="260" customFormat="1">
      <c r="B42" s="324" t="s">
        <v>84</v>
      </c>
      <c r="C42" s="320" t="s">
        <v>394</v>
      </c>
      <c r="D42" s="320" t="s">
        <v>395</v>
      </c>
      <c r="E42" s="320" t="s">
        <v>39</v>
      </c>
      <c r="F42" s="325"/>
      <c r="G42" s="325"/>
      <c r="H42" s="325"/>
      <c r="I42" s="325"/>
    </row>
    <row r="43" spans="2:9" s="260" customFormat="1">
      <c r="B43" s="324" t="s">
        <v>84</v>
      </c>
      <c r="C43" s="320" t="s">
        <v>368</v>
      </c>
      <c r="D43" s="320" t="s">
        <v>370</v>
      </c>
      <c r="E43" s="320" t="s">
        <v>39</v>
      </c>
      <c r="F43" s="325"/>
      <c r="G43" s="325"/>
      <c r="H43" s="325"/>
      <c r="I43" s="325"/>
    </row>
    <row r="44" spans="2:9" s="260" customFormat="1">
      <c r="B44" s="324" t="s">
        <v>84</v>
      </c>
      <c r="C44" s="320" t="s">
        <v>375</v>
      </c>
      <c r="D44" s="320" t="s">
        <v>376</v>
      </c>
      <c r="E44" s="320" t="s">
        <v>39</v>
      </c>
      <c r="F44" s="325"/>
      <c r="G44" s="325" t="s">
        <v>40</v>
      </c>
      <c r="H44" s="325"/>
      <c r="I44" s="3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85" zoomScaleNormal="85" workbookViewId="0">
      <selection activeCell="C8" sqref="C8"/>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75" t="s">
        <v>47</v>
      </c>
      <c r="D1" s="175" t="s">
        <v>48</v>
      </c>
      <c r="E1" s="175" t="s">
        <v>5</v>
      </c>
      <c r="F1" s="54" t="s">
        <v>286</v>
      </c>
      <c r="G1" s="54" t="s">
        <v>322</v>
      </c>
      <c r="H1" s="54" t="s">
        <v>108</v>
      </c>
      <c r="I1" s="54" t="s">
        <v>334</v>
      </c>
      <c r="J1" s="54" t="s">
        <v>256</v>
      </c>
      <c r="K1" s="54" t="s">
        <v>109</v>
      </c>
      <c r="L1" s="54" t="s">
        <v>110</v>
      </c>
      <c r="M1" s="54" t="s">
        <v>111</v>
      </c>
      <c r="N1" s="54" t="s">
        <v>112</v>
      </c>
      <c r="O1" s="54" t="s">
        <v>113</v>
      </c>
      <c r="P1" s="370" t="s">
        <v>49</v>
      </c>
      <c r="Q1" s="370"/>
      <c r="R1" s="175" t="s">
        <v>114</v>
      </c>
      <c r="S1" s="3" t="s">
        <v>50</v>
      </c>
      <c r="T1" s="3" t="s">
        <v>51</v>
      </c>
      <c r="U1" s="371" t="s">
        <v>213</v>
      </c>
      <c r="V1" s="371"/>
      <c r="W1" s="371"/>
      <c r="X1" s="371"/>
      <c r="Y1" s="158" t="s">
        <v>214</v>
      </c>
    </row>
    <row r="2" spans="1:25" ht="15">
      <c r="A2" s="2"/>
      <c r="B2" s="2"/>
      <c r="C2" s="175"/>
      <c r="D2" s="175"/>
      <c r="E2" s="175"/>
      <c r="F2" s="175"/>
      <c r="G2" s="175" t="s">
        <v>52</v>
      </c>
      <c r="H2" s="175" t="s">
        <v>52</v>
      </c>
      <c r="I2" s="175" t="s">
        <v>332</v>
      </c>
      <c r="J2" s="206" t="s">
        <v>332</v>
      </c>
      <c r="K2" s="206" t="s">
        <v>332</v>
      </c>
      <c r="L2" s="206" t="s">
        <v>52</v>
      </c>
      <c r="M2" s="206" t="s">
        <v>332</v>
      </c>
      <c r="N2" s="206" t="s">
        <v>53</v>
      </c>
      <c r="O2" s="206" t="s">
        <v>53</v>
      </c>
      <c r="P2" s="175" t="s">
        <v>41</v>
      </c>
      <c r="Q2" s="175" t="s">
        <v>54</v>
      </c>
      <c r="R2" s="175" t="s">
        <v>41</v>
      </c>
      <c r="S2" s="3"/>
      <c r="T2" s="3"/>
      <c r="U2" s="176" t="s">
        <v>257</v>
      </c>
      <c r="V2" s="176" t="s">
        <v>258</v>
      </c>
      <c r="W2" s="176" t="s">
        <v>48</v>
      </c>
      <c r="X2" s="176" t="s">
        <v>5</v>
      </c>
      <c r="Y2" s="176"/>
    </row>
    <row r="3" spans="1:25" ht="36" customHeight="1">
      <c r="A3" s="5" t="s">
        <v>55</v>
      </c>
      <c r="B3" s="339" t="s">
        <v>121</v>
      </c>
      <c r="C3" s="7">
        <v>2023</v>
      </c>
      <c r="D3" s="8">
        <v>1.5151515151515151</v>
      </c>
      <c r="E3" s="7">
        <v>30</v>
      </c>
      <c r="F3" s="7">
        <v>4</v>
      </c>
      <c r="G3" s="9">
        <f>600/1.14</f>
        <v>526.31578947368428</v>
      </c>
      <c r="H3" s="9">
        <f>450/1.14</f>
        <v>394.73684210526318</v>
      </c>
      <c r="I3" s="207">
        <f>35/1.14</f>
        <v>30.701754385964914</v>
      </c>
      <c r="J3" s="207"/>
      <c r="K3" s="207">
        <f>26.25/1.14</f>
        <v>23.026315789473685</v>
      </c>
      <c r="L3" s="229">
        <f>0.013*G3</f>
        <v>6.8421052631578956</v>
      </c>
      <c r="M3" s="208">
        <f>M30/1000*3.6</f>
        <v>4.6080000000000003E-2</v>
      </c>
      <c r="N3" s="236"/>
      <c r="O3" s="226">
        <f>O30</f>
        <v>0</v>
      </c>
      <c r="P3" s="55">
        <v>0.66</v>
      </c>
      <c r="Q3" s="10">
        <v>1.1299999999999999</v>
      </c>
      <c r="R3" s="10">
        <v>1</v>
      </c>
      <c r="S3" s="10" t="s">
        <v>62</v>
      </c>
      <c r="T3" s="10" t="s">
        <v>288</v>
      </c>
      <c r="U3" s="329" t="s">
        <v>354</v>
      </c>
      <c r="V3" s="10" t="s">
        <v>225</v>
      </c>
      <c r="W3" s="10" t="s">
        <v>225</v>
      </c>
      <c r="X3" s="10" t="s">
        <v>228</v>
      </c>
      <c r="Y3" s="160" t="s">
        <v>283</v>
      </c>
    </row>
    <row r="4" spans="1:25" ht="36" customHeight="1">
      <c r="A4" s="5"/>
      <c r="B4" s="339" t="s">
        <v>122</v>
      </c>
      <c r="C4" s="7">
        <v>2023</v>
      </c>
      <c r="D4" s="8">
        <v>0.69930069930069938</v>
      </c>
      <c r="E4" s="7">
        <v>30</v>
      </c>
      <c r="F4" s="7">
        <v>4</v>
      </c>
      <c r="G4" s="9">
        <f>650/1.14</f>
        <v>570.17543859649129</v>
      </c>
      <c r="H4" s="9">
        <v>488.84433161966456</v>
      </c>
      <c r="I4" s="207">
        <f t="shared" ref="I4:I16" si="0">I31/1000*3.6</f>
        <v>45.471600000000002</v>
      </c>
      <c r="J4" s="207"/>
      <c r="K4" s="207">
        <f>K31/1000*3.6</f>
        <v>45.471600000000002</v>
      </c>
      <c r="L4" s="229">
        <f>L31</f>
        <v>7.4</v>
      </c>
      <c r="M4" s="208">
        <f t="shared" ref="M4" si="1">M31/1000*3.6</f>
        <v>4.6080000000000003E-2</v>
      </c>
      <c r="N4" s="236"/>
      <c r="O4" s="226">
        <f>O31</f>
        <v>0</v>
      </c>
      <c r="P4" s="10">
        <v>1.43</v>
      </c>
      <c r="Q4" s="10">
        <v>0</v>
      </c>
      <c r="R4" s="10">
        <v>1</v>
      </c>
      <c r="S4" s="10" t="s">
        <v>62</v>
      </c>
      <c r="T4" s="10" t="s">
        <v>40</v>
      </c>
      <c r="U4" s="10" t="s">
        <v>225</v>
      </c>
      <c r="V4" s="10" t="s">
        <v>225</v>
      </c>
      <c r="W4" s="10" t="s">
        <v>225</v>
      </c>
      <c r="X4" s="10" t="s">
        <v>228</v>
      </c>
      <c r="Y4" s="160" t="s">
        <v>284</v>
      </c>
    </row>
    <row r="5" spans="1:25" ht="36" customHeight="1">
      <c r="A5" s="5"/>
      <c r="B5" s="339" t="s">
        <v>212</v>
      </c>
      <c r="C5" s="7">
        <v>2023</v>
      </c>
      <c r="D5" s="8">
        <v>1</v>
      </c>
      <c r="E5" s="7">
        <v>20</v>
      </c>
      <c r="F5" s="7">
        <v>4</v>
      </c>
      <c r="G5" s="11" t="s">
        <v>58</v>
      </c>
      <c r="H5" s="7" t="s">
        <v>58</v>
      </c>
      <c r="I5" s="11">
        <v>4344</v>
      </c>
      <c r="J5" s="7">
        <v>2858</v>
      </c>
      <c r="K5" s="11">
        <v>579</v>
      </c>
      <c r="L5" s="7"/>
      <c r="M5" s="11">
        <v>108.6</v>
      </c>
      <c r="N5" s="233"/>
      <c r="O5" s="232"/>
      <c r="P5" s="10"/>
      <c r="Q5" s="10"/>
      <c r="R5" s="10"/>
      <c r="S5" s="10" t="s">
        <v>62</v>
      </c>
      <c r="T5" s="10" t="s">
        <v>288</v>
      </c>
      <c r="U5" s="10" t="s">
        <v>323</v>
      </c>
      <c r="V5" s="10" t="s">
        <v>249</v>
      </c>
      <c r="W5" s="10" t="s">
        <v>259</v>
      </c>
      <c r="X5" s="10" t="s">
        <v>324</v>
      </c>
      <c r="Y5" s="160" t="s">
        <v>285</v>
      </c>
    </row>
    <row r="6" spans="1:25" ht="36" customHeight="1">
      <c r="A6" s="5"/>
      <c r="B6" s="339" t="s">
        <v>290</v>
      </c>
      <c r="C6" s="7">
        <v>2023</v>
      </c>
      <c r="D6" s="8">
        <v>1</v>
      </c>
      <c r="E6" s="7">
        <v>20</v>
      </c>
      <c r="F6" s="7">
        <v>4</v>
      </c>
      <c r="G6" s="11" t="s">
        <v>58</v>
      </c>
      <c r="H6" s="7" t="s">
        <v>58</v>
      </c>
      <c r="I6" s="11">
        <v>4344</v>
      </c>
      <c r="J6" s="7">
        <v>2858</v>
      </c>
      <c r="K6" s="11">
        <v>579</v>
      </c>
      <c r="L6" s="7"/>
      <c r="M6" s="11">
        <v>108.6</v>
      </c>
      <c r="N6" s="233"/>
      <c r="O6" s="232"/>
      <c r="P6" s="10"/>
      <c r="Q6" s="10"/>
      <c r="R6" s="10"/>
      <c r="S6" s="7" t="s">
        <v>62</v>
      </c>
      <c r="T6" s="7" t="s">
        <v>288</v>
      </c>
      <c r="U6" s="7" t="s">
        <v>323</v>
      </c>
      <c r="V6" s="7" t="s">
        <v>249</v>
      </c>
      <c r="W6" s="7" t="s">
        <v>259</v>
      </c>
      <c r="X6" s="7" t="s">
        <v>324</v>
      </c>
      <c r="Y6" s="160" t="s">
        <v>285</v>
      </c>
    </row>
    <row r="7" spans="1:25" ht="36" customHeight="1">
      <c r="A7" s="5"/>
      <c r="B7" s="339" t="s">
        <v>56</v>
      </c>
      <c r="C7" s="7">
        <v>2015</v>
      </c>
      <c r="D7" s="12">
        <v>0.8</v>
      </c>
      <c r="E7" s="7">
        <v>60</v>
      </c>
      <c r="F7" s="7">
        <v>8</v>
      </c>
      <c r="G7" s="11">
        <f>1500/1.14</f>
        <v>1315.7894736842106</v>
      </c>
      <c r="H7" s="11">
        <f>G7</f>
        <v>1315.7894736842106</v>
      </c>
      <c r="I7" s="209">
        <f>I34/1000*3.6</f>
        <v>98.211600000000004</v>
      </c>
      <c r="J7" s="209"/>
      <c r="K7" s="209">
        <f t="shared" ref="K7:K16" si="2">K34/1000*3.6</f>
        <v>98.211600000000004</v>
      </c>
      <c r="L7" s="230">
        <f>0.015*G7</f>
        <v>19.736842105263158</v>
      </c>
      <c r="M7" s="208"/>
      <c r="N7" s="226"/>
      <c r="O7" s="233"/>
      <c r="P7" s="10"/>
      <c r="Q7" s="10"/>
      <c r="R7" s="10"/>
      <c r="S7" s="10" t="s">
        <v>62</v>
      </c>
      <c r="T7" s="10" t="s">
        <v>288</v>
      </c>
      <c r="U7" s="329" t="s">
        <v>357</v>
      </c>
      <c r="V7" s="10" t="s">
        <v>236</v>
      </c>
      <c r="W7" s="10" t="s">
        <v>259</v>
      </c>
      <c r="X7" s="10" t="s">
        <v>259</v>
      </c>
      <c r="Y7" s="160" t="s">
        <v>287</v>
      </c>
    </row>
    <row r="8" spans="1:25" ht="36" customHeight="1">
      <c r="A8" s="5"/>
      <c r="B8" s="340" t="s">
        <v>137</v>
      </c>
      <c r="C8" s="53">
        <v>2023</v>
      </c>
      <c r="D8" s="83">
        <v>0.8</v>
      </c>
      <c r="E8" s="53">
        <v>8</v>
      </c>
      <c r="F8" s="53">
        <v>4</v>
      </c>
      <c r="G8" s="84">
        <v>300</v>
      </c>
      <c r="H8" s="84">
        <v>175</v>
      </c>
      <c r="I8" s="211">
        <f>(50+301)/2</f>
        <v>175.5</v>
      </c>
      <c r="J8" s="211"/>
      <c r="K8" s="211">
        <f>(29+241)/2</f>
        <v>135</v>
      </c>
      <c r="L8" s="231">
        <f>0.014*G8</f>
        <v>4.2</v>
      </c>
      <c r="M8" s="208"/>
      <c r="N8" s="226"/>
      <c r="O8" s="233"/>
      <c r="P8" s="10"/>
      <c r="Q8" s="10"/>
      <c r="R8" s="10"/>
      <c r="S8" s="10" t="s">
        <v>62</v>
      </c>
      <c r="T8" s="10" t="s">
        <v>288</v>
      </c>
      <c r="U8" s="10" t="s">
        <v>236</v>
      </c>
      <c r="V8" s="10" t="s">
        <v>236</v>
      </c>
      <c r="W8" s="10" t="s">
        <v>325</v>
      </c>
      <c r="X8" s="10" t="s">
        <v>259</v>
      </c>
      <c r="Y8" s="160" t="s">
        <v>260</v>
      </c>
    </row>
    <row r="9" spans="1:25" ht="36" customHeight="1">
      <c r="A9" s="81"/>
      <c r="B9" s="340" t="s">
        <v>138</v>
      </c>
      <c r="C9" s="53">
        <v>2023</v>
      </c>
      <c r="D9" s="83">
        <v>0.9</v>
      </c>
      <c r="E9" s="53">
        <v>10</v>
      </c>
      <c r="F9" s="53">
        <v>1</v>
      </c>
      <c r="G9" s="84">
        <v>300</v>
      </c>
      <c r="H9" s="84">
        <v>175</v>
      </c>
      <c r="I9" s="211">
        <f>752/1.14</f>
        <v>659.64912280701765</v>
      </c>
      <c r="J9" s="211">
        <f>255/1.14</f>
        <v>223.68421052631581</v>
      </c>
      <c r="K9" s="211">
        <f>246/1.14</f>
        <v>215.78947368421055</v>
      </c>
      <c r="L9" s="231">
        <f>0.014*G9</f>
        <v>4.2</v>
      </c>
      <c r="M9" s="212"/>
      <c r="N9" s="227"/>
      <c r="O9" s="234"/>
      <c r="P9" s="53"/>
      <c r="Q9" s="53"/>
      <c r="R9" s="53"/>
      <c r="S9" s="53" t="s">
        <v>62</v>
      </c>
      <c r="T9" s="53" t="s">
        <v>288</v>
      </c>
      <c r="U9" s="329" t="s">
        <v>356</v>
      </c>
      <c r="V9" s="10" t="s">
        <v>236</v>
      </c>
      <c r="W9" s="10" t="s">
        <v>228</v>
      </c>
      <c r="X9" s="10" t="s">
        <v>326</v>
      </c>
      <c r="Y9" s="160" t="s">
        <v>261</v>
      </c>
    </row>
    <row r="10" spans="1:25" ht="36" customHeight="1">
      <c r="A10" s="13"/>
      <c r="B10" s="341" t="s">
        <v>139</v>
      </c>
      <c r="C10" s="15">
        <v>2023</v>
      </c>
      <c r="D10" s="16">
        <v>0.85</v>
      </c>
      <c r="E10" s="15">
        <v>10</v>
      </c>
      <c r="F10" s="15">
        <v>4</v>
      </c>
      <c r="G10" s="17">
        <v>300</v>
      </c>
      <c r="H10" s="17">
        <v>175</v>
      </c>
      <c r="I10" s="213">
        <f>350/1.14</f>
        <v>307.01754385964915</v>
      </c>
      <c r="J10" s="213"/>
      <c r="K10" s="213">
        <f>295/1.14</f>
        <v>258.77192982456143</v>
      </c>
      <c r="L10" s="18">
        <f>G10*0.015</f>
        <v>4.5</v>
      </c>
      <c r="M10" s="214"/>
      <c r="N10" s="228"/>
      <c r="O10" s="235"/>
      <c r="P10" s="15"/>
      <c r="Q10" s="15"/>
      <c r="R10" s="15"/>
      <c r="S10" s="15" t="s">
        <v>62</v>
      </c>
      <c r="T10" s="15" t="s">
        <v>40</v>
      </c>
      <c r="U10" s="336" t="s">
        <v>356</v>
      </c>
      <c r="V10" s="15" t="s">
        <v>236</v>
      </c>
      <c r="W10" s="15" t="s">
        <v>327</v>
      </c>
      <c r="X10" s="15" t="s">
        <v>327</v>
      </c>
      <c r="Y10" s="161" t="s">
        <v>262</v>
      </c>
    </row>
    <row r="11" spans="1:25" ht="36" customHeight="1">
      <c r="A11" s="5" t="s">
        <v>134</v>
      </c>
      <c r="B11" s="6" t="s">
        <v>140</v>
      </c>
      <c r="C11" s="7">
        <v>2023</v>
      </c>
      <c r="D11" s="8">
        <v>0.8</v>
      </c>
      <c r="E11" s="85">
        <v>8</v>
      </c>
      <c r="F11" s="85">
        <v>4</v>
      </c>
      <c r="G11" s="86"/>
      <c r="H11" s="86"/>
      <c r="I11" s="216">
        <f t="shared" ref="I11:L11" si="3">I8</f>
        <v>175.5</v>
      </c>
      <c r="J11" s="216"/>
      <c r="K11" s="216">
        <f t="shared" si="3"/>
        <v>135</v>
      </c>
      <c r="L11" s="87">
        <f t="shared" si="3"/>
        <v>4.2</v>
      </c>
      <c r="M11" s="217"/>
      <c r="N11" s="238"/>
      <c r="O11" s="236"/>
      <c r="P11" s="7"/>
      <c r="Q11" s="7"/>
      <c r="R11" s="7"/>
      <c r="S11" s="87" t="s">
        <v>62</v>
      </c>
      <c r="T11" s="87" t="s">
        <v>40</v>
      </c>
      <c r="U11" s="87" t="s">
        <v>236</v>
      </c>
      <c r="V11" s="87" t="s">
        <v>236</v>
      </c>
      <c r="W11" s="87" t="s">
        <v>325</v>
      </c>
      <c r="X11" s="87" t="s">
        <v>259</v>
      </c>
      <c r="Y11" s="162" t="s">
        <v>260</v>
      </c>
    </row>
    <row r="12" spans="1:25" ht="36" customHeight="1">
      <c r="A12" s="5"/>
      <c r="B12" s="6" t="s">
        <v>141</v>
      </c>
      <c r="C12" s="7">
        <v>2023</v>
      </c>
      <c r="D12" s="8">
        <v>0.9</v>
      </c>
      <c r="E12" s="85">
        <v>10</v>
      </c>
      <c r="F12" s="85">
        <v>1</v>
      </c>
      <c r="G12" s="86"/>
      <c r="H12" s="86"/>
      <c r="I12" s="216">
        <f t="shared" ref="I12:L12" si="4">I9</f>
        <v>659.64912280701765</v>
      </c>
      <c r="J12" s="216">
        <f t="shared" si="4"/>
        <v>223.68421052631581</v>
      </c>
      <c r="K12" s="216">
        <f t="shared" si="4"/>
        <v>215.78947368421055</v>
      </c>
      <c r="L12" s="87">
        <f t="shared" si="4"/>
        <v>4.2</v>
      </c>
      <c r="M12" s="217"/>
      <c r="N12" s="238"/>
      <c r="O12" s="236"/>
      <c r="P12" s="7"/>
      <c r="Q12" s="7"/>
      <c r="R12" s="7"/>
      <c r="S12" s="87" t="s">
        <v>62</v>
      </c>
      <c r="T12" s="87" t="s">
        <v>40</v>
      </c>
      <c r="U12" s="87" t="s">
        <v>236</v>
      </c>
      <c r="V12" s="87" t="s">
        <v>236</v>
      </c>
      <c r="W12" s="87" t="s">
        <v>228</v>
      </c>
      <c r="X12" s="87" t="s">
        <v>326</v>
      </c>
      <c r="Y12" s="162" t="s">
        <v>261</v>
      </c>
    </row>
    <row r="13" spans="1:25" ht="36" customHeight="1">
      <c r="A13" s="13"/>
      <c r="B13" s="14" t="s">
        <v>142</v>
      </c>
      <c r="C13" s="15">
        <v>2023</v>
      </c>
      <c r="D13" s="89">
        <v>0.9</v>
      </c>
      <c r="E13" s="200">
        <v>10</v>
      </c>
      <c r="F13" s="200">
        <v>4</v>
      </c>
      <c r="G13" s="201"/>
      <c r="H13" s="201"/>
      <c r="I13" s="218">
        <f>I40/1000*3.6</f>
        <v>156.90240000000003</v>
      </c>
      <c r="J13" s="218"/>
      <c r="K13" s="218">
        <f t="shared" si="2"/>
        <v>68.378399999999999</v>
      </c>
      <c r="L13" s="91">
        <f t="shared" ref="L13:L16" si="5">L40</f>
        <v>10.1</v>
      </c>
      <c r="M13" s="215"/>
      <c r="N13" s="235"/>
      <c r="O13" s="237"/>
      <c r="P13" s="91"/>
      <c r="Q13" s="15"/>
      <c r="R13" s="15"/>
      <c r="S13" s="91" t="s">
        <v>62</v>
      </c>
      <c r="T13" s="91" t="s">
        <v>40</v>
      </c>
      <c r="U13" s="91" t="s">
        <v>328</v>
      </c>
      <c r="V13" s="91" t="s">
        <v>236</v>
      </c>
      <c r="W13" s="91" t="s">
        <v>226</v>
      </c>
      <c r="X13" s="91" t="s">
        <v>226</v>
      </c>
      <c r="Y13" s="163" t="s">
        <v>289</v>
      </c>
    </row>
    <row r="14" spans="1:25" ht="36" customHeight="1">
      <c r="A14" s="6" t="s">
        <v>135</v>
      </c>
      <c r="B14" s="6" t="s">
        <v>140</v>
      </c>
      <c r="C14" s="7">
        <v>2023</v>
      </c>
      <c r="D14" s="8">
        <v>0.8</v>
      </c>
      <c r="E14" s="7">
        <v>8</v>
      </c>
      <c r="F14" s="7">
        <v>4</v>
      </c>
      <c r="G14" s="11"/>
      <c r="H14" s="11"/>
      <c r="I14" s="209">
        <f t="shared" ref="I14:L14" si="6">I8</f>
        <v>175.5</v>
      </c>
      <c r="J14" s="209"/>
      <c r="K14" s="209">
        <f t="shared" si="6"/>
        <v>135</v>
      </c>
      <c r="L14" s="230">
        <f t="shared" si="6"/>
        <v>4.2</v>
      </c>
      <c r="M14" s="210"/>
      <c r="N14" s="233"/>
      <c r="O14" s="233"/>
      <c r="P14" s="7"/>
      <c r="Q14" s="7"/>
      <c r="R14" s="7"/>
      <c r="S14" s="87" t="s">
        <v>62</v>
      </c>
      <c r="T14" s="87" t="s">
        <v>40</v>
      </c>
      <c r="U14" s="87" t="s">
        <v>236</v>
      </c>
      <c r="V14" s="87" t="s">
        <v>236</v>
      </c>
      <c r="W14" s="87" t="s">
        <v>325</v>
      </c>
      <c r="X14" s="87" t="s">
        <v>259</v>
      </c>
      <c r="Y14" s="162" t="s">
        <v>260</v>
      </c>
    </row>
    <row r="15" spans="1:25" ht="36" customHeight="1">
      <c r="A15" s="5"/>
      <c r="B15" s="6" t="s">
        <v>141</v>
      </c>
      <c r="C15" s="7">
        <v>2023</v>
      </c>
      <c r="D15" s="8">
        <v>0.9</v>
      </c>
      <c r="E15" s="7">
        <v>10</v>
      </c>
      <c r="F15" s="7">
        <v>1</v>
      </c>
      <c r="G15" s="11"/>
      <c r="H15" s="11"/>
      <c r="I15" s="209">
        <f t="shared" ref="I15:L15" si="7">I9</f>
        <v>659.64912280701765</v>
      </c>
      <c r="J15" s="209">
        <f t="shared" si="7"/>
        <v>223.68421052631581</v>
      </c>
      <c r="K15" s="209">
        <f t="shared" si="7"/>
        <v>215.78947368421055</v>
      </c>
      <c r="L15" s="230">
        <f t="shared" si="7"/>
        <v>4.2</v>
      </c>
      <c r="M15" s="210"/>
      <c r="N15" s="233"/>
      <c r="O15" s="233"/>
      <c r="P15" s="7"/>
      <c r="Q15" s="7"/>
      <c r="R15" s="7"/>
      <c r="S15" s="87" t="s">
        <v>62</v>
      </c>
      <c r="T15" s="87" t="s">
        <v>40</v>
      </c>
      <c r="U15" s="87" t="s">
        <v>226</v>
      </c>
      <c r="V15" s="87" t="s">
        <v>226</v>
      </c>
      <c r="W15" s="87" t="s">
        <v>329</v>
      </c>
      <c r="X15" s="87" t="s">
        <v>329</v>
      </c>
      <c r="Y15" s="162" t="s">
        <v>261</v>
      </c>
    </row>
    <row r="16" spans="1:25" ht="36" customHeight="1">
      <c r="A16" s="13"/>
      <c r="B16" s="14" t="s">
        <v>142</v>
      </c>
      <c r="C16" s="15">
        <v>2023</v>
      </c>
      <c r="D16" s="89">
        <v>0.9</v>
      </c>
      <c r="E16" s="15">
        <v>10</v>
      </c>
      <c r="F16" s="15">
        <v>4</v>
      </c>
      <c r="G16" s="17"/>
      <c r="H16" s="17"/>
      <c r="I16" s="213">
        <f t="shared" si="0"/>
        <v>156.90240000000003</v>
      </c>
      <c r="J16" s="213"/>
      <c r="K16" s="213">
        <f t="shared" si="2"/>
        <v>68.378399999999999</v>
      </c>
      <c r="L16" s="18">
        <f t="shared" si="5"/>
        <v>10.1</v>
      </c>
      <c r="M16" s="215"/>
      <c r="N16" s="235"/>
      <c r="O16" s="235"/>
      <c r="P16" s="15"/>
      <c r="Q16" s="15"/>
      <c r="R16" s="15"/>
      <c r="S16" s="91" t="s">
        <v>62</v>
      </c>
      <c r="T16" s="91" t="s">
        <v>40</v>
      </c>
      <c r="U16" s="91" t="s">
        <v>328</v>
      </c>
      <c r="V16" s="91" t="s">
        <v>236</v>
      </c>
      <c r="W16" s="91" t="s">
        <v>226</v>
      </c>
      <c r="X16" s="91" t="s">
        <v>226</v>
      </c>
      <c r="Y16" s="163" t="s">
        <v>289</v>
      </c>
    </row>
    <row r="17" spans="1:25" ht="36" customHeight="1">
      <c r="A17" s="14" t="s">
        <v>136</v>
      </c>
      <c r="B17" s="14" t="s">
        <v>57</v>
      </c>
      <c r="C17" s="15">
        <v>2006</v>
      </c>
      <c r="D17" s="16">
        <v>0.9</v>
      </c>
      <c r="E17" s="15">
        <v>10</v>
      </c>
      <c r="F17" s="15" t="s">
        <v>58</v>
      </c>
      <c r="G17" s="155" t="s">
        <v>58</v>
      </c>
      <c r="H17" s="155" t="s">
        <v>58</v>
      </c>
      <c r="I17" s="155" t="s">
        <v>58</v>
      </c>
      <c r="J17" s="155" t="s">
        <v>58</v>
      </c>
      <c r="K17" s="155" t="s">
        <v>58</v>
      </c>
      <c r="L17" s="155" t="s">
        <v>58</v>
      </c>
      <c r="M17" s="155" t="s">
        <v>58</v>
      </c>
      <c r="N17" s="155" t="s">
        <v>58</v>
      </c>
      <c r="O17" s="155" t="s">
        <v>58</v>
      </c>
      <c r="P17" s="155" t="s">
        <v>58</v>
      </c>
      <c r="Q17" s="155" t="s">
        <v>58</v>
      </c>
      <c r="R17" s="155" t="s">
        <v>58</v>
      </c>
      <c r="S17" s="91" t="s">
        <v>62</v>
      </c>
      <c r="T17" s="91" t="s">
        <v>40</v>
      </c>
      <c r="U17" s="91"/>
      <c r="V17" s="91"/>
      <c r="W17" s="91"/>
      <c r="X17" s="91"/>
      <c r="Y17" s="202" t="s">
        <v>59</v>
      </c>
    </row>
    <row r="18" spans="1:25" ht="36" customHeight="1">
      <c r="A18" s="81" t="s">
        <v>60</v>
      </c>
      <c r="B18" s="82" t="s">
        <v>165</v>
      </c>
      <c r="C18" s="53">
        <v>2023</v>
      </c>
      <c r="D18" s="83">
        <v>0.7</v>
      </c>
      <c r="E18" s="53">
        <v>30</v>
      </c>
      <c r="F18" s="53"/>
      <c r="G18" s="84"/>
      <c r="H18" s="53"/>
      <c r="I18" s="53">
        <v>769</v>
      </c>
      <c r="J18" s="53"/>
      <c r="K18" s="53">
        <v>128</v>
      </c>
      <c r="L18" s="53">
        <v>15.4</v>
      </c>
      <c r="M18" s="53"/>
      <c r="N18" s="53"/>
      <c r="O18" s="53"/>
      <c r="P18" s="53"/>
      <c r="Q18" s="53"/>
      <c r="R18" s="53"/>
      <c r="S18" s="53" t="s">
        <v>62</v>
      </c>
      <c r="T18" s="53" t="s">
        <v>288</v>
      </c>
      <c r="U18" s="53" t="s">
        <v>313</v>
      </c>
      <c r="V18" s="53" t="s">
        <v>259</v>
      </c>
      <c r="W18" s="53" t="s">
        <v>313</v>
      </c>
      <c r="X18" s="53" t="s">
        <v>313</v>
      </c>
      <c r="Y18" s="164" t="s">
        <v>263</v>
      </c>
    </row>
    <row r="19" spans="1:25" ht="36" customHeight="1">
      <c r="A19" s="13"/>
      <c r="B19" s="14" t="s">
        <v>166</v>
      </c>
      <c r="C19" s="53">
        <v>2023</v>
      </c>
      <c r="D19" s="16">
        <v>0.7</v>
      </c>
      <c r="E19" s="15">
        <v>20</v>
      </c>
      <c r="F19" s="15"/>
      <c r="G19" s="17"/>
      <c r="H19" s="15"/>
      <c r="I19" s="15">
        <v>2562</v>
      </c>
      <c r="J19" s="15"/>
      <c r="K19" s="15"/>
      <c r="L19" s="15">
        <v>51.2</v>
      </c>
      <c r="M19" s="15"/>
      <c r="N19" s="15"/>
      <c r="O19" s="15"/>
      <c r="P19" s="15"/>
      <c r="Q19" s="15"/>
      <c r="R19" s="15"/>
      <c r="S19" s="15" t="s">
        <v>62</v>
      </c>
      <c r="T19" s="15" t="s">
        <v>288</v>
      </c>
      <c r="U19" s="15" t="s">
        <v>313</v>
      </c>
      <c r="V19" s="15" t="s">
        <v>259</v>
      </c>
      <c r="W19" s="15" t="s">
        <v>313</v>
      </c>
      <c r="X19" s="15" t="s">
        <v>313</v>
      </c>
      <c r="Y19" s="161" t="s">
        <v>263</v>
      </c>
    </row>
    <row r="20" spans="1:25" ht="36" customHeight="1">
      <c r="A20" s="118" t="s">
        <v>61</v>
      </c>
      <c r="B20" s="113" t="s">
        <v>165</v>
      </c>
      <c r="C20" s="114">
        <v>2023</v>
      </c>
      <c r="D20" s="115">
        <v>0.7</v>
      </c>
      <c r="E20" s="114">
        <v>30</v>
      </c>
      <c r="F20" s="114"/>
      <c r="G20" s="116"/>
      <c r="H20" s="114"/>
      <c r="I20" s="114">
        <v>769</v>
      </c>
      <c r="J20" s="114"/>
      <c r="K20" s="114">
        <v>128</v>
      </c>
      <c r="L20" s="114">
        <v>15.4</v>
      </c>
      <c r="M20" s="114"/>
      <c r="N20" s="114"/>
      <c r="O20" s="114"/>
      <c r="P20" s="114"/>
      <c r="Q20" s="114"/>
      <c r="R20" s="53"/>
      <c r="S20" s="53" t="s">
        <v>62</v>
      </c>
      <c r="T20" s="114" t="s">
        <v>288</v>
      </c>
      <c r="U20" s="53" t="s">
        <v>313</v>
      </c>
      <c r="V20" s="53" t="s">
        <v>259</v>
      </c>
      <c r="W20" s="53" t="s">
        <v>313</v>
      </c>
      <c r="X20" s="53" t="s">
        <v>313</v>
      </c>
      <c r="Y20" s="164" t="s">
        <v>263</v>
      </c>
    </row>
    <row r="21" spans="1:25" ht="36" customHeight="1">
      <c r="A21" s="90"/>
      <c r="B21" s="14" t="s">
        <v>166</v>
      </c>
      <c r="C21" s="15">
        <v>2023</v>
      </c>
      <c r="D21" s="16">
        <v>0.7</v>
      </c>
      <c r="E21" s="156">
        <v>20</v>
      </c>
      <c r="F21" s="156"/>
      <c r="G21" s="15"/>
      <c r="H21" s="15"/>
      <c r="I21" s="156">
        <v>2562</v>
      </c>
      <c r="J21" s="156"/>
      <c r="K21" s="156"/>
      <c r="L21" s="156">
        <v>51.2</v>
      </c>
      <c r="M21" s="156"/>
      <c r="N21" s="156"/>
      <c r="O21" s="156"/>
      <c r="P21" s="156"/>
      <c r="Q21" s="90"/>
      <c r="R21" s="90"/>
      <c r="S21" s="15" t="s">
        <v>62</v>
      </c>
      <c r="T21" s="90" t="s">
        <v>288</v>
      </c>
      <c r="U21" s="165" t="s">
        <v>313</v>
      </c>
      <c r="V21" s="165" t="s">
        <v>259</v>
      </c>
      <c r="W21" s="165" t="s">
        <v>313</v>
      </c>
      <c r="X21" s="165" t="s">
        <v>313</v>
      </c>
      <c r="Y21" s="161" t="s">
        <v>263</v>
      </c>
    </row>
    <row r="22" spans="1:25">
      <c r="A22" s="4"/>
      <c r="B22" s="189"/>
      <c r="C22" s="7"/>
      <c r="D22" s="7"/>
      <c r="E22" s="7"/>
      <c r="F22" s="7"/>
      <c r="G22" s="7"/>
      <c r="H22" s="7"/>
      <c r="I22" s="7"/>
      <c r="J22" s="7"/>
      <c r="K22" s="7"/>
      <c r="L22" s="7"/>
      <c r="M22" s="7"/>
      <c r="N22" s="7"/>
      <c r="O22" s="7"/>
      <c r="P22" s="4"/>
      <c r="Q22" s="4"/>
      <c r="R22" s="4"/>
      <c r="S22" s="4"/>
      <c r="T22" s="4"/>
      <c r="U22" s="4"/>
      <c r="V22" s="4"/>
      <c r="W22" s="4"/>
      <c r="X22" s="4"/>
      <c r="Y22" s="4"/>
    </row>
    <row r="23" spans="1:25" ht="15">
      <c r="A23" s="188" t="s">
        <v>295</v>
      </c>
      <c r="B23" s="189"/>
      <c r="C23" s="7"/>
      <c r="D23" s="7"/>
      <c r="E23" s="7"/>
      <c r="F23" s="7"/>
      <c r="G23" s="7"/>
      <c r="H23" s="7"/>
      <c r="I23" s="7"/>
      <c r="J23" s="7"/>
      <c r="K23" s="7"/>
      <c r="L23" s="7"/>
      <c r="M23" s="7"/>
      <c r="N23" s="7"/>
      <c r="O23" s="7"/>
      <c r="P23" s="7"/>
      <c r="Q23" s="7"/>
      <c r="R23" s="7"/>
      <c r="S23" s="7"/>
      <c r="T23" s="4"/>
      <c r="U23" s="4"/>
      <c r="V23" s="190"/>
      <c r="W23" s="4"/>
      <c r="X23" s="4"/>
      <c r="Y23" s="4"/>
    </row>
    <row r="24" spans="1:25" ht="30">
      <c r="A24" s="2" t="s">
        <v>45</v>
      </c>
      <c r="B24" s="2" t="s">
        <v>46</v>
      </c>
      <c r="C24" s="175" t="s">
        <v>47</v>
      </c>
      <c r="D24" s="175" t="s">
        <v>296</v>
      </c>
      <c r="E24" s="54" t="s">
        <v>297</v>
      </c>
      <c r="F24" s="54" t="s">
        <v>48</v>
      </c>
      <c r="G24" s="175" t="s">
        <v>5</v>
      </c>
      <c r="H24" s="54" t="s">
        <v>286</v>
      </c>
      <c r="I24" s="54" t="s">
        <v>298</v>
      </c>
      <c r="J24" s="54" t="s">
        <v>299</v>
      </c>
      <c r="K24" s="54" t="s">
        <v>107</v>
      </c>
      <c r="L24" s="54" t="s">
        <v>110</v>
      </c>
      <c r="M24" s="54" t="s">
        <v>111</v>
      </c>
      <c r="N24" s="54" t="s">
        <v>112</v>
      </c>
      <c r="O24" s="54" t="s">
        <v>113</v>
      </c>
      <c r="P24" s="370" t="s">
        <v>49</v>
      </c>
      <c r="Q24" s="370"/>
      <c r="R24" s="175" t="s">
        <v>114</v>
      </c>
      <c r="S24" s="3" t="s">
        <v>50</v>
      </c>
      <c r="T24" s="3" t="s">
        <v>51</v>
      </c>
      <c r="U24" s="371" t="s">
        <v>213</v>
      </c>
      <c r="V24" s="371"/>
      <c r="W24" s="371"/>
      <c r="X24" s="371"/>
      <c r="Y24" s="158" t="s">
        <v>214</v>
      </c>
    </row>
    <row r="25" spans="1:25" ht="15">
      <c r="A25" s="175"/>
      <c r="B25" s="175"/>
      <c r="C25" s="175"/>
      <c r="D25" s="175"/>
      <c r="E25" s="175"/>
      <c r="F25" s="175"/>
      <c r="G25" s="175"/>
      <c r="H25" s="175"/>
      <c r="I25" s="175" t="s">
        <v>71</v>
      </c>
      <c r="J25" s="175" t="s">
        <v>39</v>
      </c>
      <c r="K25" s="175" t="s">
        <v>80</v>
      </c>
      <c r="L25" s="175" t="s">
        <v>52</v>
      </c>
      <c r="M25" s="175" t="s">
        <v>53</v>
      </c>
      <c r="N25" s="175" t="s">
        <v>53</v>
      </c>
      <c r="O25" s="175" t="s">
        <v>53</v>
      </c>
      <c r="P25" s="175" t="s">
        <v>41</v>
      </c>
      <c r="Q25" s="175" t="s">
        <v>54</v>
      </c>
      <c r="R25" s="175" t="s">
        <v>41</v>
      </c>
      <c r="S25" s="3"/>
      <c r="T25" s="3"/>
      <c r="U25" s="176" t="s">
        <v>257</v>
      </c>
      <c r="V25" s="176" t="s">
        <v>258</v>
      </c>
      <c r="W25" s="176" t="s">
        <v>48</v>
      </c>
      <c r="X25" s="176" t="s">
        <v>5</v>
      </c>
      <c r="Y25" s="176"/>
    </row>
    <row r="26" spans="1:25" ht="31.5" customHeight="1">
      <c r="A26" s="13" t="s">
        <v>55</v>
      </c>
      <c r="B26" s="14" t="s">
        <v>300</v>
      </c>
      <c r="C26" s="15">
        <v>1978</v>
      </c>
      <c r="D26" s="165" t="s">
        <v>301</v>
      </c>
      <c r="E26" s="16">
        <v>0.42</v>
      </c>
      <c r="F26" s="191">
        <v>1.1390909090909092</v>
      </c>
      <c r="G26" s="15">
        <v>20</v>
      </c>
      <c r="H26" s="15">
        <v>3</v>
      </c>
      <c r="I26" s="165">
        <v>0.32</v>
      </c>
      <c r="J26" s="192">
        <v>3.4559999999999999E-3</v>
      </c>
      <c r="K26" s="17">
        <v>401.88300098078417</v>
      </c>
      <c r="L26" s="18">
        <v>8.1166606004774522</v>
      </c>
      <c r="M26" s="18">
        <v>12.810386048733351</v>
      </c>
      <c r="N26" s="15"/>
      <c r="O26" s="117">
        <v>0</v>
      </c>
      <c r="P26" s="193">
        <v>0.87789305666400641</v>
      </c>
      <c r="Q26" s="193">
        <v>1.5030593242883745</v>
      </c>
      <c r="R26" s="165">
        <v>1</v>
      </c>
      <c r="S26" s="165" t="s">
        <v>62</v>
      </c>
      <c r="T26" s="165" t="s">
        <v>40</v>
      </c>
      <c r="U26" s="165" t="s">
        <v>330</v>
      </c>
      <c r="V26" s="165" t="s">
        <v>225</v>
      </c>
      <c r="W26" s="15" t="s">
        <v>331</v>
      </c>
      <c r="X26" s="90"/>
      <c r="Y26" s="194" t="s">
        <v>302</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7"/>
  <sheetViews>
    <sheetView zoomScale="85" zoomScaleNormal="85" workbookViewId="0">
      <selection activeCell="O29" sqref="O29"/>
    </sheetView>
  </sheetViews>
  <sheetFormatPr defaultColWidth="9.140625" defaultRowHeight="15"/>
  <cols>
    <col min="1" max="1" width="11.85546875" style="178" bestFit="1" customWidth="1"/>
    <col min="2" max="16384" width="9.140625" style="178"/>
  </cols>
  <sheetData>
    <row r="2" spans="1:22" ht="26.25">
      <c r="A2" s="177" t="s">
        <v>55</v>
      </c>
      <c r="V2" s="179"/>
    </row>
    <row r="3" spans="1:22">
      <c r="V3" s="179"/>
    </row>
    <row r="6" spans="1:22" ht="18">
      <c r="R6" s="174" t="s">
        <v>102</v>
      </c>
    </row>
    <row r="7" spans="1:22" ht="18">
      <c r="R7" s="174" t="s">
        <v>103</v>
      </c>
    </row>
    <row r="9" spans="1:22" ht="18">
      <c r="R9" s="174" t="s">
        <v>104</v>
      </c>
    </row>
    <row r="10" spans="1:22" ht="18">
      <c r="R10" s="174" t="s">
        <v>105</v>
      </c>
    </row>
    <row r="11" spans="1:22">
      <c r="P11" s="179"/>
    </row>
    <row r="12" spans="1:22">
      <c r="P12" s="179"/>
    </row>
    <row r="38" spans="1:3">
      <c r="B38" s="179" t="s">
        <v>291</v>
      </c>
    </row>
    <row r="39" spans="1:3">
      <c r="B39" s="187" t="s">
        <v>292</v>
      </c>
      <c r="C39" s="179"/>
    </row>
    <row r="42" spans="1:3" ht="23.25">
      <c r="B42" s="180"/>
    </row>
    <row r="43" spans="1:3" s="181" customFormat="1"/>
    <row r="45" spans="1:3" ht="26.25">
      <c r="A45" s="177" t="s">
        <v>63</v>
      </c>
    </row>
    <row r="64" s="181" customFormat="1"/>
    <row r="66" spans="1:18" ht="26.25">
      <c r="A66" s="177" t="s">
        <v>64</v>
      </c>
    </row>
    <row r="69" spans="1:18">
      <c r="I69" s="178" t="s">
        <v>65</v>
      </c>
    </row>
    <row r="70" spans="1:18">
      <c r="I70" s="178" t="s">
        <v>66</v>
      </c>
    </row>
    <row r="72" spans="1:18">
      <c r="R72" s="182"/>
    </row>
    <row r="77" spans="1:18">
      <c r="R77" s="182"/>
    </row>
    <row r="83" spans="1:14">
      <c r="F83" s="183"/>
    </row>
    <row r="84" spans="1:14">
      <c r="N84" s="182"/>
    </row>
    <row r="85" spans="1:14">
      <c r="B85" s="178" t="s">
        <v>67</v>
      </c>
      <c r="N85" s="184"/>
    </row>
    <row r="89" spans="1:14" s="181" customFormat="1"/>
    <row r="91" spans="1:14" ht="26.25">
      <c r="A91" s="177" t="s">
        <v>68</v>
      </c>
    </row>
    <row r="100" spans="2:15">
      <c r="O100" s="182"/>
    </row>
    <row r="112" spans="2:15">
      <c r="B112" s="178" t="s">
        <v>69</v>
      </c>
    </row>
    <row r="113" spans="1:2">
      <c r="B113" s="178" t="s">
        <v>70</v>
      </c>
    </row>
    <row r="115" spans="1:2">
      <c r="B115" s="185"/>
    </row>
    <row r="117" spans="1:2">
      <c r="A117" s="18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Admin</cp:lastModifiedBy>
  <dcterms:created xsi:type="dcterms:W3CDTF">2005-06-03T09:41:13Z</dcterms:created>
  <dcterms:modified xsi:type="dcterms:W3CDTF">2020-05-08T07:49:35Z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