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pivotTables/pivotTable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7.xml" ContentType="application/vnd.openxmlformats-officedocument.drawing+xml"/>
  <Override PartName="/xl/pivotTables/pivotTable3.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B14BDA58-2B92-4870-B9DE-59849DA4977E}" xr6:coauthVersionLast="45" xr6:coauthVersionMax="45" xr10:uidLastSave="{00000000-0000-0000-0000-000000000000}"/>
  <bookViews>
    <workbookView xWindow="3720" yWindow="570" windowWidth="25080" windowHeight="15030"/>
  </bookViews>
  <sheets>
    <sheet name="ESRnonETS" sheetId="1" r:id="rId1"/>
    <sheet name="EC ESR" sheetId="15" r:id="rId2"/>
    <sheet name="PRIMES results" sheetId="16" r:id="rId3"/>
    <sheet name="Eurostat" sheetId="17" r:id="rId4"/>
    <sheet name="ESD 2020 Targets" sheetId="27" r:id="rId5"/>
    <sheet name="Countries" sheetId="18" r:id="rId6"/>
    <sheet name="ESD ESR" sheetId="19" r:id="rId7"/>
    <sheet name="NL" sheetId="36" r:id="rId8"/>
    <sheet name="EU28 COM2016 482" sheetId="37" r:id="rId9"/>
    <sheet name="EU28 Amendments" sheetId="38" r:id="rId10"/>
    <sheet name="VEDA outputs" sheetId="20" r:id="rId11"/>
    <sheet name="UNFCCC EU28 CO2 2005" sheetId="21" r:id="rId12"/>
    <sheet name="Pivot EU28" sheetId="31" r:id="rId13"/>
    <sheet name="Pivot" sheetId="32" r:id="rId14"/>
    <sheet name="UNFCCC_V20 data non-ETS" sheetId="30" r:id="rId15"/>
    <sheet name="ETS Verified" sheetId="33" r:id="rId16"/>
    <sheet name="Non CO2 total Pivot" sheetId="35" r:id="rId17"/>
    <sheet name="Non CO2 total" sheetId="34" r:id="rId18"/>
    <sheet name="N2O PFC pivot" sheetId="40" r:id="rId19"/>
    <sheet name="N2O PFC ETS" sheetId="39" r:id="rId20"/>
    <sheet name="UNFCCC Bunker Navig excluded" sheetId="41" r:id="rId21"/>
  </sheets>
  <definedNames>
    <definedName name="_xlnm._FilterDatabase" localSheetId="17" hidden="1">'Non CO2 total'!$B$2:$O$29</definedName>
    <definedName name="_xlnm._FilterDatabase" localSheetId="14" hidden="1">'UNFCCC_V20 data non-ETS'!$B$3:$O$3</definedName>
  </definedNames>
  <calcPr calcId="191029"/>
  <pivotCaches>
    <pivotCache cacheId="2" r:id="rId22"/>
    <pivotCache cacheId="3" r:id="rId23"/>
    <pivotCache cacheId="4"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7" i="1" l="1"/>
  <c r="AN7" i="1"/>
  <c r="AH8"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Q40" i="1"/>
  <c r="Q7" i="1" s="1"/>
  <c r="Q6" i="1" s="1"/>
  <c r="R40" i="1"/>
  <c r="R7" i="1" s="1"/>
  <c r="R6" i="1" s="1"/>
  <c r="S40" i="1"/>
  <c r="S7" i="1"/>
  <c r="T40" i="1"/>
  <c r="T7" i="1" s="1"/>
  <c r="T6" i="1" s="1"/>
  <c r="U40" i="1"/>
  <c r="U7" i="1" s="1"/>
  <c r="U6" i="1" s="1"/>
  <c r="V40" i="1"/>
  <c r="V7" i="1" s="1"/>
  <c r="V6" i="1" s="1"/>
  <c r="W40" i="1"/>
  <c r="W7" i="1" s="1"/>
  <c r="W6" i="1" s="1"/>
  <c r="X40" i="1"/>
  <c r="X7" i="1" s="1"/>
  <c r="X6" i="1" s="1"/>
  <c r="Y40" i="1"/>
  <c r="Y7" i="1" s="1"/>
  <c r="Y6" i="1" s="1"/>
  <c r="Z40" i="1"/>
  <c r="Z7" i="1"/>
  <c r="AA40" i="1"/>
  <c r="AA7" i="1"/>
  <c r="AB40" i="1"/>
  <c r="AB7" i="1" s="1"/>
  <c r="AB6" i="1" s="1"/>
  <c r="AC40" i="1"/>
  <c r="AC7" i="1" s="1"/>
  <c r="AC6" i="1" s="1"/>
  <c r="AD40" i="1"/>
  <c r="AD7" i="1" s="1"/>
  <c r="AD6" i="1" s="1"/>
  <c r="AE40" i="1"/>
  <c r="AE7" i="1"/>
  <c r="AF40" i="1"/>
  <c r="AF7" i="1" s="1"/>
  <c r="AF6" i="1" s="1"/>
  <c r="AG40" i="1"/>
  <c r="AG7" i="1"/>
  <c r="AH40" i="1"/>
  <c r="AH7" i="1" s="1"/>
  <c r="AH6" i="1" s="1"/>
  <c r="AI40" i="1"/>
  <c r="AI7" i="1" s="1"/>
  <c r="AI6" i="1" s="1"/>
  <c r="AJ40" i="1"/>
  <c r="AJ7" i="1" s="1"/>
  <c r="AJ6" i="1" s="1"/>
  <c r="AK40" i="1"/>
  <c r="AK7" i="1" s="1"/>
  <c r="AK6" i="1" s="1"/>
  <c r="AL40" i="1"/>
  <c r="AM40" i="1"/>
  <c r="AM7" i="1" s="1"/>
  <c r="AM6" i="1" s="1"/>
  <c r="AN40" i="1"/>
  <c r="AO40" i="1"/>
  <c r="AO7" i="1"/>
  <c r="AP40" i="1"/>
  <c r="AP7" i="1" s="1"/>
  <c r="AP6" i="1" s="1"/>
  <c r="AQ40" i="1"/>
  <c r="AQ7" i="1"/>
  <c r="AQ6" i="1" s="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Q42" i="1"/>
  <c r="Q8" i="1" s="1"/>
  <c r="R42" i="1"/>
  <c r="R8" i="1" s="1"/>
  <c r="S42" i="1"/>
  <c r="S8" i="1" s="1"/>
  <c r="T42" i="1"/>
  <c r="T8" i="1"/>
  <c r="U42" i="1"/>
  <c r="U8" i="1"/>
  <c r="V42" i="1"/>
  <c r="V8" i="1" s="1"/>
  <c r="W42" i="1"/>
  <c r="W8" i="1"/>
  <c r="X42" i="1"/>
  <c r="X8" i="1"/>
  <c r="Y42" i="1"/>
  <c r="Y8" i="1"/>
  <c r="Z42" i="1"/>
  <c r="Z8" i="1" s="1"/>
  <c r="AA42" i="1"/>
  <c r="AA8" i="1"/>
  <c r="AB42" i="1"/>
  <c r="O42" i="1" s="1"/>
  <c r="AC42" i="1"/>
  <c r="AC8" i="1" s="1"/>
  <c r="AD42" i="1"/>
  <c r="AD8" i="1" s="1"/>
  <c r="AE42" i="1"/>
  <c r="AE8" i="1" s="1"/>
  <c r="AF42" i="1"/>
  <c r="AF8" i="1" s="1"/>
  <c r="AG42" i="1"/>
  <c r="AG8" i="1"/>
  <c r="AH42" i="1"/>
  <c r="AI42" i="1"/>
  <c r="AI8" i="1"/>
  <c r="AJ42" i="1"/>
  <c r="AJ8" i="1" s="1"/>
  <c r="AK42" i="1"/>
  <c r="AK8" i="1"/>
  <c r="AL42" i="1"/>
  <c r="AL8" i="1" s="1"/>
  <c r="AM42" i="1"/>
  <c r="AM8" i="1" s="1"/>
  <c r="AN42" i="1"/>
  <c r="AN8" i="1"/>
  <c r="AO42" i="1"/>
  <c r="AO8" i="1" s="1"/>
  <c r="AP42" i="1"/>
  <c r="AP8" i="1" s="1"/>
  <c r="AQ42" i="1"/>
  <c r="AQ8" i="1"/>
  <c r="P42" i="1"/>
  <c r="P41" i="1"/>
  <c r="O41" i="1" s="1"/>
  <c r="P40" i="1"/>
  <c r="P7" i="1" s="1"/>
  <c r="P6" i="1" s="1"/>
  <c r="P39" i="1"/>
  <c r="O39" i="1" s="1"/>
  <c r="P38" i="1"/>
  <c r="O38" i="1" s="1"/>
  <c r="P37" i="1"/>
  <c r="O37" i="1" s="1"/>
  <c r="O30" i="1"/>
  <c r="O31" i="1"/>
  <c r="O32" i="1"/>
  <c r="O33" i="1"/>
  <c r="O34" i="1"/>
  <c r="O29" i="1"/>
  <c r="G39" i="20"/>
  <c r="AJ57" i="20"/>
  <c r="O17" i="41"/>
  <c r="O168" i="41"/>
  <c r="O5" i="41"/>
  <c r="P5" i="41" s="1"/>
  <c r="O4" i="41"/>
  <c r="P4" i="41"/>
  <c r="P17" i="41"/>
  <c r="O172" i="41"/>
  <c r="F26" i="20"/>
  <c r="O4" i="39"/>
  <c r="O5" i="39"/>
  <c r="O6" i="39"/>
  <c r="O7" i="39"/>
  <c r="O8" i="39"/>
  <c r="O9" i="39"/>
  <c r="O10" i="39"/>
  <c r="O11" i="39"/>
  <c r="O12" i="39"/>
  <c r="O13" i="39"/>
  <c r="O14" i="39"/>
  <c r="O15" i="39"/>
  <c r="O16" i="39"/>
  <c r="O17" i="39"/>
  <c r="O18" i="39"/>
  <c r="O19" i="39"/>
  <c r="O20" i="39"/>
  <c r="O21" i="39"/>
  <c r="O22" i="39"/>
  <c r="O23" i="39"/>
  <c r="O24" i="39"/>
  <c r="O25" i="39"/>
  <c r="O26" i="39"/>
  <c r="O27" i="39"/>
  <c r="O28" i="39"/>
  <c r="O29" i="39"/>
  <c r="O30" i="39"/>
  <c r="O31" i="39"/>
  <c r="O32" i="39"/>
  <c r="O33" i="39"/>
  <c r="O34" i="39"/>
  <c r="O35" i="39"/>
  <c r="O36" i="39"/>
  <c r="O37" i="39"/>
  <c r="O38" i="39"/>
  <c r="O39" i="39"/>
  <c r="O40" i="39"/>
  <c r="O41" i="39"/>
  <c r="O42" i="39"/>
  <c r="O43" i="39"/>
  <c r="O44" i="39"/>
  <c r="O45" i="39"/>
  <c r="O46" i="39"/>
  <c r="O47" i="39"/>
  <c r="O48" i="39"/>
  <c r="O49" i="39"/>
  <c r="O50" i="39"/>
  <c r="O51" i="39"/>
  <c r="O52" i="39"/>
  <c r="O53" i="39"/>
  <c r="O54" i="39"/>
  <c r="O55" i="39"/>
  <c r="O56" i="39"/>
  <c r="O57" i="39"/>
  <c r="O58" i="39"/>
  <c r="O59" i="39"/>
  <c r="O60" i="39"/>
  <c r="O61" i="39"/>
  <c r="O62" i="39"/>
  <c r="O63" i="39"/>
  <c r="O64" i="39"/>
  <c r="O65" i="39"/>
  <c r="O66" i="39"/>
  <c r="O67" i="39"/>
  <c r="O68" i="39"/>
  <c r="O69" i="39"/>
  <c r="O70" i="39"/>
  <c r="O71" i="39"/>
  <c r="O72" i="39"/>
  <c r="O73" i="39"/>
  <c r="O74" i="39"/>
  <c r="O75" i="39"/>
  <c r="O76" i="39"/>
  <c r="O77" i="39"/>
  <c r="O78" i="39"/>
  <c r="O79" i="39"/>
  <c r="O80" i="39"/>
  <c r="O81" i="39"/>
  <c r="O82" i="39"/>
  <c r="O83" i="39"/>
  <c r="O84" i="39"/>
  <c r="O85" i="39"/>
  <c r="O86" i="39"/>
  <c r="O87" i="39"/>
  <c r="O88" i="39"/>
  <c r="O89" i="39"/>
  <c r="O90" i="39"/>
  <c r="O91" i="39"/>
  <c r="O92" i="39"/>
  <c r="O93" i="39"/>
  <c r="O94" i="39"/>
  <c r="O95" i="39"/>
  <c r="O96" i="39"/>
  <c r="O97" i="39"/>
  <c r="O98" i="39"/>
  <c r="O99" i="39"/>
  <c r="O100" i="39"/>
  <c r="O101" i="39"/>
  <c r="O102" i="39"/>
  <c r="O103" i="39"/>
  <c r="O104" i="39"/>
  <c r="O105" i="39"/>
  <c r="O106" i="39"/>
  <c r="O107" i="39"/>
  <c r="O108" i="39"/>
  <c r="O109" i="39"/>
  <c r="O110" i="39"/>
  <c r="O111" i="39"/>
  <c r="O112" i="39"/>
  <c r="O113" i="39"/>
  <c r="O114" i="39"/>
  <c r="O115" i="39"/>
  <c r="O116" i="39"/>
  <c r="O117" i="39"/>
  <c r="O118" i="39"/>
  <c r="O119" i="39"/>
  <c r="O120" i="39"/>
  <c r="O121" i="39"/>
  <c r="O122" i="39"/>
  <c r="O123" i="39"/>
  <c r="O124" i="39"/>
  <c r="O125" i="39"/>
  <c r="O126" i="39"/>
  <c r="O127" i="39"/>
  <c r="O128" i="39"/>
  <c r="O129" i="39"/>
  <c r="O130" i="39"/>
  <c r="O131" i="39"/>
  <c r="O132" i="39"/>
  <c r="O133" i="39"/>
  <c r="O134" i="39"/>
  <c r="O135" i="39"/>
  <c r="O136" i="39"/>
  <c r="O137" i="39"/>
  <c r="O138" i="39"/>
  <c r="O139" i="39"/>
  <c r="O140" i="39"/>
  <c r="O141" i="39"/>
  <c r="O142" i="39"/>
  <c r="O143" i="39"/>
  <c r="O144" i="39"/>
  <c r="O145" i="39"/>
  <c r="O146" i="39"/>
  <c r="O147" i="39"/>
  <c r="O148" i="39"/>
  <c r="O149" i="39"/>
  <c r="O150" i="39"/>
  <c r="O151" i="39"/>
  <c r="O152" i="39"/>
  <c r="O153" i="39"/>
  <c r="O154" i="39"/>
  <c r="O155" i="39"/>
  <c r="O156" i="39"/>
  <c r="O157" i="39"/>
  <c r="O158" i="39"/>
  <c r="O159" i="39"/>
  <c r="O160" i="39"/>
  <c r="O161" i="39"/>
  <c r="O162" i="39"/>
  <c r="O163" i="39"/>
  <c r="O164" i="39"/>
  <c r="O165" i="39"/>
  <c r="O166" i="39"/>
  <c r="O167" i="39"/>
  <c r="O168" i="39"/>
  <c r="O169" i="39"/>
  <c r="O170" i="39"/>
  <c r="O171" i="39"/>
  <c r="O172" i="39"/>
  <c r="O173" i="39"/>
  <c r="O174" i="39"/>
  <c r="O175" i="39"/>
  <c r="O176" i="39"/>
  <c r="O177" i="39"/>
  <c r="O178" i="39"/>
  <c r="O179" i="39"/>
  <c r="O180" i="39"/>
  <c r="O181" i="39"/>
  <c r="O182" i="39"/>
  <c r="O183" i="39"/>
  <c r="O184" i="39"/>
  <c r="O185" i="39"/>
  <c r="O3" i="39"/>
  <c r="D46" i="37"/>
  <c r="U52" i="38"/>
  <c r="T52" i="38"/>
  <c r="S52" i="38"/>
  <c r="I52" i="38"/>
  <c r="H52" i="38"/>
  <c r="G52" i="38"/>
  <c r="H51" i="38"/>
  <c r="F17" i="38" s="1"/>
  <c r="H50" i="38"/>
  <c r="H17" i="38" s="1"/>
  <c r="G51" i="38"/>
  <c r="F12" i="38" s="1"/>
  <c r="R50" i="38"/>
  <c r="Q50" i="38"/>
  <c r="P50" i="38"/>
  <c r="T48" i="38"/>
  <c r="T51" i="38" s="1"/>
  <c r="T50" i="38" s="1"/>
  <c r="I17" i="38" s="1"/>
  <c r="S48" i="38"/>
  <c r="S51" i="38" s="1"/>
  <c r="S50" i="38" s="1"/>
  <c r="I12" i="38" s="1"/>
  <c r="F48" i="38"/>
  <c r="R48" i="38" s="1"/>
  <c r="F51" i="38"/>
  <c r="E48" i="38"/>
  <c r="D48" i="38"/>
  <c r="U47" i="38"/>
  <c r="T47" i="38"/>
  <c r="S47" i="38"/>
  <c r="R47" i="38"/>
  <c r="Q47" i="38"/>
  <c r="P47" i="38"/>
  <c r="M44" i="38"/>
  <c r="L44" i="38"/>
  <c r="K44" i="38"/>
  <c r="J44" i="38"/>
  <c r="I44" i="38"/>
  <c r="H44" i="38"/>
  <c r="G44" i="38"/>
  <c r="E9" i="38"/>
  <c r="G9" i="38" s="1"/>
  <c r="N9" i="38" s="1"/>
  <c r="E8" i="38"/>
  <c r="G8" i="38" s="1"/>
  <c r="N8" i="38" s="1"/>
  <c r="L7" i="38"/>
  <c r="I7" i="38"/>
  <c r="H7" i="38"/>
  <c r="E7" i="38"/>
  <c r="P6" i="38"/>
  <c r="O6" i="38"/>
  <c r="N6" i="38"/>
  <c r="M6" i="38"/>
  <c r="L6" i="38"/>
  <c r="K6" i="38"/>
  <c r="B5" i="38"/>
  <c r="T47" i="37"/>
  <c r="S47" i="37"/>
  <c r="R47" i="37"/>
  <c r="H47" i="37"/>
  <c r="G47" i="37"/>
  <c r="F47" i="37"/>
  <c r="G46" i="37"/>
  <c r="G45" i="37"/>
  <c r="F12" i="37" s="1"/>
  <c r="F46" i="37"/>
  <c r="F45" i="37" s="1"/>
  <c r="Q45" i="37"/>
  <c r="P45" i="37"/>
  <c r="S43" i="37"/>
  <c r="S46" i="37" s="1"/>
  <c r="S45" i="37" s="1"/>
  <c r="G12" i="37" s="1"/>
  <c r="R43" i="37"/>
  <c r="P43" i="37"/>
  <c r="E43" i="37"/>
  <c r="E46" i="37" s="1"/>
  <c r="H43" i="37"/>
  <c r="H46" i="37" s="1"/>
  <c r="H45" i="37" s="1"/>
  <c r="F17" i="37" s="1"/>
  <c r="K17" i="37" s="1"/>
  <c r="T43" i="37"/>
  <c r="T46" i="37" s="1"/>
  <c r="T45" i="37" s="1"/>
  <c r="G17" i="37" s="1"/>
  <c r="L17" i="37" s="1"/>
  <c r="D43" i="37"/>
  <c r="T42" i="37"/>
  <c r="S42" i="37"/>
  <c r="R42" i="37"/>
  <c r="R46" i="37" s="1"/>
  <c r="R45" i="37" s="1"/>
  <c r="G7" i="37" s="1"/>
  <c r="Q42" i="37"/>
  <c r="P42" i="37"/>
  <c r="M39" i="37"/>
  <c r="L39" i="37"/>
  <c r="K39" i="37"/>
  <c r="J39" i="37"/>
  <c r="I39" i="37"/>
  <c r="H39" i="37"/>
  <c r="G39" i="37"/>
  <c r="L6" i="37"/>
  <c r="K6" i="37"/>
  <c r="J6" i="37"/>
  <c r="I6" i="37"/>
  <c r="B5" i="37"/>
  <c r="E5" i="37" s="1"/>
  <c r="E17" i="36"/>
  <c r="D17" i="36"/>
  <c r="E7" i="36"/>
  <c r="E8" i="36" s="1"/>
  <c r="D7" i="36"/>
  <c r="D8" i="36" s="1"/>
  <c r="E5" i="36"/>
  <c r="F9" i="38"/>
  <c r="R51" i="38"/>
  <c r="F52" i="38"/>
  <c r="R52" i="38"/>
  <c r="D47" i="37"/>
  <c r="P47" i="37"/>
  <c r="P46" i="37"/>
  <c r="P48" i="38"/>
  <c r="D51" i="38"/>
  <c r="E5" i="38"/>
  <c r="E22" i="38" s="1"/>
  <c r="C5" i="38"/>
  <c r="D12" i="38" s="1"/>
  <c r="Q48" i="38"/>
  <c r="E51" i="38"/>
  <c r="E52" i="38" s="1"/>
  <c r="Q52" i="38" s="1"/>
  <c r="I48" i="38"/>
  <c r="Z29" i="16"/>
  <c r="Y29" i="16"/>
  <c r="X29" i="16"/>
  <c r="W29" i="16"/>
  <c r="V29" i="16"/>
  <c r="U29" i="16"/>
  <c r="T29" i="16"/>
  <c r="S29" i="16"/>
  <c r="R29" i="16"/>
  <c r="Q29" i="16"/>
  <c r="Z28" i="16"/>
  <c r="Y28" i="16"/>
  <c r="X28" i="16"/>
  <c r="W28" i="16"/>
  <c r="V28" i="16"/>
  <c r="U28" i="16"/>
  <c r="T28" i="16"/>
  <c r="S28" i="16"/>
  <c r="R28" i="16"/>
  <c r="Q28" i="16"/>
  <c r="Z27" i="16"/>
  <c r="Y27" i="16"/>
  <c r="X27" i="16"/>
  <c r="W27" i="16"/>
  <c r="V27" i="16"/>
  <c r="U27" i="16"/>
  <c r="T27" i="16"/>
  <c r="S27" i="16"/>
  <c r="R27" i="16"/>
  <c r="Q27" i="16"/>
  <c r="Z26" i="16"/>
  <c r="Y26" i="16"/>
  <c r="X26" i="16"/>
  <c r="W26" i="16"/>
  <c r="V26" i="16"/>
  <c r="U26" i="16"/>
  <c r="T26" i="16"/>
  <c r="S26" i="16"/>
  <c r="R26" i="16"/>
  <c r="Q26" i="16"/>
  <c r="E26" i="16"/>
  <c r="F26" i="16"/>
  <c r="G26" i="16"/>
  <c r="H26" i="16"/>
  <c r="I26" i="16"/>
  <c r="J26" i="16"/>
  <c r="K26" i="16"/>
  <c r="L26" i="16"/>
  <c r="M26" i="16"/>
  <c r="E27" i="16"/>
  <c r="F27" i="16"/>
  <c r="G27" i="16"/>
  <c r="H27" i="16"/>
  <c r="I27" i="16"/>
  <c r="J27" i="16"/>
  <c r="K27" i="16"/>
  <c r="L27" i="16"/>
  <c r="M27" i="16"/>
  <c r="E28" i="16"/>
  <c r="F28" i="16"/>
  <c r="G28" i="16"/>
  <c r="H28" i="16"/>
  <c r="I28" i="16"/>
  <c r="J28" i="16"/>
  <c r="K28" i="16"/>
  <c r="L28" i="16"/>
  <c r="M28" i="16"/>
  <c r="E29" i="16"/>
  <c r="F29" i="16"/>
  <c r="G29" i="16"/>
  <c r="H29" i="16"/>
  <c r="I29" i="16"/>
  <c r="J29" i="16"/>
  <c r="K29" i="16"/>
  <c r="L29" i="16"/>
  <c r="M29" i="16"/>
  <c r="D28" i="16"/>
  <c r="D29" i="16"/>
  <c r="D27" i="16"/>
  <c r="D26" i="16"/>
  <c r="N21" i="34"/>
  <c r="N4" i="34"/>
  <c r="N22" i="34"/>
  <c r="N23" i="34"/>
  <c r="N12" i="34"/>
  <c r="N13" i="34"/>
  <c r="N14" i="34"/>
  <c r="N5" i="34"/>
  <c r="N6" i="34"/>
  <c r="N7" i="34"/>
  <c r="N24" i="34"/>
  <c r="N8" i="34"/>
  <c r="N25" i="34"/>
  <c r="N9" i="34"/>
  <c r="N26" i="34"/>
  <c r="N15" i="34"/>
  <c r="N27" i="34"/>
  <c r="N16" i="34"/>
  <c r="N17" i="34"/>
  <c r="N10" i="34"/>
  <c r="N18" i="34"/>
  <c r="N28" i="34"/>
  <c r="N11" i="34"/>
  <c r="N19" i="34"/>
  <c r="N20" i="34"/>
  <c r="N29" i="34"/>
  <c r="N3" i="34"/>
  <c r="E6" i="20"/>
  <c r="E7" i="20"/>
  <c r="E8" i="20"/>
  <c r="E9" i="20"/>
  <c r="E15" i="20"/>
  <c r="E16" i="20"/>
  <c r="E22" i="20"/>
  <c r="E45" i="20"/>
  <c r="E46" i="20"/>
  <c r="E47" i="20"/>
  <c r="E48" i="20"/>
  <c r="E21" i="20"/>
  <c r="P39" i="20"/>
  <c r="P57" i="20" s="1"/>
  <c r="G57" i="20"/>
  <c r="H39" i="20"/>
  <c r="H57" i="20"/>
  <c r="I39" i="20"/>
  <c r="J39" i="20"/>
  <c r="J57" i="20"/>
  <c r="K39" i="20"/>
  <c r="K57" i="20"/>
  <c r="L39" i="20"/>
  <c r="E39" i="20" s="1"/>
  <c r="E57" i="20" s="1"/>
  <c r="L57" i="20"/>
  <c r="M39" i="20"/>
  <c r="M57" i="20" s="1"/>
  <c r="N39" i="20"/>
  <c r="N57" i="20"/>
  <c r="O39" i="20"/>
  <c r="O57" i="20" s="1"/>
  <c r="Q39" i="20"/>
  <c r="Q57" i="20" s="1"/>
  <c r="R39" i="20"/>
  <c r="R57" i="20" s="1"/>
  <c r="S39" i="20"/>
  <c r="S57" i="20" s="1"/>
  <c r="T39" i="20"/>
  <c r="T57" i="20"/>
  <c r="U39" i="20"/>
  <c r="U57" i="20"/>
  <c r="V39" i="20"/>
  <c r="W39" i="20"/>
  <c r="W57" i="20" s="1"/>
  <c r="X39" i="20"/>
  <c r="X57" i="20"/>
  <c r="Y39" i="20"/>
  <c r="Y57" i="20"/>
  <c r="Z39" i="20"/>
  <c r="Z57" i="20"/>
  <c r="AA39" i="20"/>
  <c r="AA57" i="20"/>
  <c r="AB39" i="20"/>
  <c r="AB57" i="20"/>
  <c r="AC39" i="20"/>
  <c r="AD39" i="20"/>
  <c r="AD57" i="20"/>
  <c r="AE39" i="20"/>
  <c r="AE57" i="20"/>
  <c r="AF39" i="20"/>
  <c r="AF57" i="20" s="1"/>
  <c r="AG39" i="20"/>
  <c r="AG57" i="20"/>
  <c r="AH39" i="20"/>
  <c r="AH57" i="20" s="1"/>
  <c r="AI39" i="20"/>
  <c r="AI57" i="20" s="1"/>
  <c r="AJ39" i="20"/>
  <c r="G40" i="20"/>
  <c r="G58" i="20" s="1"/>
  <c r="H40" i="20"/>
  <c r="H58" i="20"/>
  <c r="I40" i="20"/>
  <c r="J40" i="20"/>
  <c r="J58" i="20"/>
  <c r="K40" i="20"/>
  <c r="K58" i="20"/>
  <c r="L40" i="20"/>
  <c r="E40" i="20" s="1"/>
  <c r="E58" i="20" s="1"/>
  <c r="M40" i="20"/>
  <c r="M58" i="20" s="1"/>
  <c r="N40" i="20"/>
  <c r="N58" i="20" s="1"/>
  <c r="O40" i="20"/>
  <c r="O58" i="20" s="1"/>
  <c r="P40" i="20"/>
  <c r="P58" i="20"/>
  <c r="Q40" i="20"/>
  <c r="Q58" i="20"/>
  <c r="R40" i="20"/>
  <c r="R58" i="20"/>
  <c r="S40" i="20"/>
  <c r="S58" i="20" s="1"/>
  <c r="T40" i="20"/>
  <c r="T58" i="20"/>
  <c r="U40" i="20"/>
  <c r="U58" i="20" s="1"/>
  <c r="V40" i="20"/>
  <c r="W40" i="20"/>
  <c r="W58" i="20" s="1"/>
  <c r="X40" i="20"/>
  <c r="X58" i="20" s="1"/>
  <c r="Y40" i="20"/>
  <c r="Y58" i="20"/>
  <c r="Z40" i="20"/>
  <c r="Z58" i="20"/>
  <c r="AA40" i="20"/>
  <c r="AA58" i="20" s="1"/>
  <c r="AB40" i="20"/>
  <c r="AB58" i="20"/>
  <c r="AC40" i="20"/>
  <c r="AD40" i="20"/>
  <c r="AD58" i="20" s="1"/>
  <c r="AE40" i="20"/>
  <c r="AE58" i="20" s="1"/>
  <c r="AF40" i="20"/>
  <c r="AF58" i="20" s="1"/>
  <c r="AG40" i="20"/>
  <c r="AG58" i="20"/>
  <c r="AH40" i="20"/>
  <c r="AH58" i="20"/>
  <c r="AI40" i="20"/>
  <c r="AI58" i="20"/>
  <c r="AJ40" i="20"/>
  <c r="AJ58" i="20" s="1"/>
  <c r="F40" i="20"/>
  <c r="F58" i="20"/>
  <c r="F39" i="20"/>
  <c r="F57" i="20" s="1"/>
  <c r="P26" i="20"/>
  <c r="P54" i="20" s="1"/>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G26" i="20"/>
  <c r="H26" i="20"/>
  <c r="I26" i="20"/>
  <c r="J26" i="20"/>
  <c r="K26" i="20"/>
  <c r="K54" i="20" s="1"/>
  <c r="L26" i="20"/>
  <c r="L51" i="20" s="1"/>
  <c r="M26" i="20"/>
  <c r="M54" i="20"/>
  <c r="N26" i="20"/>
  <c r="O26" i="20"/>
  <c r="Q26" i="20"/>
  <c r="R26" i="20"/>
  <c r="R51" i="20" s="1"/>
  <c r="S26" i="20"/>
  <c r="T26" i="20"/>
  <c r="T51" i="20" s="1"/>
  <c r="U26" i="20"/>
  <c r="U51" i="20" s="1"/>
  <c r="V26" i="20"/>
  <c r="W26" i="20"/>
  <c r="X26" i="20"/>
  <c r="X54" i="20" s="1"/>
  <c r="Y26" i="20"/>
  <c r="Y51" i="20" s="1"/>
  <c r="Z26" i="20"/>
  <c r="Z54" i="20" s="1"/>
  <c r="AA26" i="20"/>
  <c r="AA51" i="20" s="1"/>
  <c r="AB26" i="20"/>
  <c r="AB54" i="20" s="1"/>
  <c r="AC26" i="20"/>
  <c r="AD26" i="20"/>
  <c r="AE26" i="20"/>
  <c r="AF26" i="20"/>
  <c r="AG26" i="20"/>
  <c r="AH26" i="20"/>
  <c r="AI26" i="20"/>
  <c r="AJ26" i="20"/>
  <c r="G27" i="20"/>
  <c r="G52" i="20" s="1"/>
  <c r="H27" i="20"/>
  <c r="H55" i="20" s="1"/>
  <c r="I27" i="20"/>
  <c r="J27" i="20"/>
  <c r="K27" i="20"/>
  <c r="K52" i="20" s="1"/>
  <c r="L27" i="20"/>
  <c r="M27" i="20"/>
  <c r="N27" i="20"/>
  <c r="N52" i="20" s="1"/>
  <c r="O27" i="20"/>
  <c r="P27" i="20"/>
  <c r="P52" i="20" s="1"/>
  <c r="Q27" i="20"/>
  <c r="R27" i="20"/>
  <c r="R55" i="20" s="1"/>
  <c r="S27" i="20"/>
  <c r="S52" i="20" s="1"/>
  <c r="T27" i="20"/>
  <c r="T55" i="20" s="1"/>
  <c r="U27" i="20"/>
  <c r="U52" i="20" s="1"/>
  <c r="V27" i="20"/>
  <c r="W27" i="20"/>
  <c r="W52" i="20" s="1"/>
  <c r="X27" i="20"/>
  <c r="X55" i="20" s="1"/>
  <c r="Y27" i="20"/>
  <c r="Y55" i="20" s="1"/>
  <c r="Z27" i="20"/>
  <c r="Z52" i="20" s="1"/>
  <c r="AA27" i="20"/>
  <c r="AA52" i="20" s="1"/>
  <c r="AB27" i="20"/>
  <c r="AB55" i="20" s="1"/>
  <c r="AC27" i="20"/>
  <c r="AD27" i="20"/>
  <c r="AE27" i="20"/>
  <c r="AF27" i="20"/>
  <c r="AG27" i="20"/>
  <c r="AH27" i="20"/>
  <c r="AI27" i="20"/>
  <c r="AJ27" i="20"/>
  <c r="F27" i="20"/>
  <c r="G10" i="27"/>
  <c r="G11" i="27"/>
  <c r="G16" i="27"/>
  <c r="G19" i="27"/>
  <c r="G3" i="27"/>
  <c r="F4" i="27"/>
  <c r="G4" i="27" s="1"/>
  <c r="F5" i="27"/>
  <c r="G5" i="27" s="1"/>
  <c r="F6" i="27"/>
  <c r="G6" i="27"/>
  <c r="F7" i="27"/>
  <c r="G7" i="27" s="1"/>
  <c r="F8" i="27"/>
  <c r="G8" i="27" s="1"/>
  <c r="F9" i="27"/>
  <c r="G9" i="27" s="1"/>
  <c r="F10" i="27"/>
  <c r="F11" i="27"/>
  <c r="F12" i="27"/>
  <c r="G12" i="27"/>
  <c r="F13" i="27"/>
  <c r="G13" i="27"/>
  <c r="F14" i="27"/>
  <c r="G14" i="27" s="1"/>
  <c r="F15" i="27"/>
  <c r="G15" i="27" s="1"/>
  <c r="F16" i="27"/>
  <c r="F17" i="27"/>
  <c r="G17" i="27" s="1"/>
  <c r="F18" i="27"/>
  <c r="G18" i="27" s="1"/>
  <c r="F19" i="27"/>
  <c r="F20" i="27"/>
  <c r="G20" i="27" s="1"/>
  <c r="F21" i="27"/>
  <c r="G21" i="27"/>
  <c r="F22" i="27"/>
  <c r="G22" i="27"/>
  <c r="F23" i="27"/>
  <c r="G23" i="27"/>
  <c r="F24" i="27"/>
  <c r="G24" i="27" s="1"/>
  <c r="F25" i="27"/>
  <c r="G25" i="27" s="1"/>
  <c r="F26" i="27"/>
  <c r="G26" i="27" s="1"/>
  <c r="F27" i="27"/>
  <c r="G27" i="27" s="1"/>
  <c r="F28" i="27"/>
  <c r="G28" i="27"/>
  <c r="F29" i="27"/>
  <c r="G29" i="27"/>
  <c r="F30" i="27"/>
  <c r="G30" i="27"/>
  <c r="F31" i="27"/>
  <c r="F3" i="27"/>
  <c r="D31" i="27"/>
  <c r="G31" i="27" s="1"/>
  <c r="D52" i="38"/>
  <c r="P52" i="38"/>
  <c r="F7" i="38"/>
  <c r="M9" i="38"/>
  <c r="P51" i="38"/>
  <c r="I51" i="38"/>
  <c r="F22" i="38" s="1"/>
  <c r="M22" i="38" s="1"/>
  <c r="U48" i="38"/>
  <c r="U51" i="38"/>
  <c r="U50" i="38"/>
  <c r="I22" i="38"/>
  <c r="P22" i="38" s="1"/>
  <c r="F8" i="38"/>
  <c r="M8" i="38" s="1"/>
  <c r="Q51" i="38"/>
  <c r="I50" i="38"/>
  <c r="H22" i="38" s="1"/>
  <c r="O22" i="38" s="1"/>
  <c r="G7" i="38"/>
  <c r="N7" i="38"/>
  <c r="M7" i="38"/>
  <c r="X23" i="16"/>
  <c r="X14" i="16"/>
  <c r="B9" i="17"/>
  <c r="B11" i="17"/>
  <c r="B13" i="17"/>
  <c r="B14" i="17"/>
  <c r="B21" i="17"/>
  <c r="B15" i="17"/>
  <c r="B16" i="17"/>
  <c r="B18" i="17"/>
  <c r="B19" i="17"/>
  <c r="B22" i="17"/>
  <c r="B10" i="17"/>
  <c r="B25" i="17"/>
  <c r="B23" i="17"/>
  <c r="B24" i="17"/>
  <c r="B20" i="17"/>
  <c r="B26" i="17"/>
  <c r="B27" i="17"/>
  <c r="B7" i="17"/>
  <c r="Q29" i="20" s="1"/>
  <c r="B28" i="17"/>
  <c r="B29" i="17"/>
  <c r="B30" i="17"/>
  <c r="B32" i="17"/>
  <c r="B33" i="17"/>
  <c r="B17" i="17"/>
  <c r="B31" i="17"/>
  <c r="B34" i="17"/>
  <c r="B8" i="17"/>
  <c r="P8" i="1"/>
  <c r="AO6" i="1"/>
  <c r="S6" i="1"/>
  <c r="AA6" i="1"/>
  <c r="AG6" i="1"/>
  <c r="AL6" i="1"/>
  <c r="AE6" i="1"/>
  <c r="AN6" i="1"/>
  <c r="Z6" i="1"/>
  <c r="Q55" i="20"/>
  <c r="U54" i="20"/>
  <c r="T54" i="20"/>
  <c r="N55" i="20"/>
  <c r="G51" i="20"/>
  <c r="F54" i="20"/>
  <c r="AJ55" i="20"/>
  <c r="L52" i="20"/>
  <c r="AG54" i="20"/>
  <c r="AE52" i="20"/>
  <c r="Q51" i="20"/>
  <c r="N54" i="20"/>
  <c r="AE54" i="20"/>
  <c r="H51" i="20"/>
  <c r="J55" i="20"/>
  <c r="O54" i="20"/>
  <c r="AD55" i="20"/>
  <c r="AJ54" i="20"/>
  <c r="P55" i="20"/>
  <c r="E35" i="20"/>
  <c r="G54" i="20"/>
  <c r="E36" i="20"/>
  <c r="AH51" i="20"/>
  <c r="E34" i="20"/>
  <c r="Y54" i="20"/>
  <c r="AH52" i="20"/>
  <c r="AF51" i="20"/>
  <c r="K55" i="20"/>
  <c r="K51" i="20"/>
  <c r="AH54" i="20"/>
  <c r="AJ51" i="20"/>
  <c r="F55" i="20"/>
  <c r="M52" i="20"/>
  <c r="AI51" i="20"/>
  <c r="S51" i="20"/>
  <c r="J51" i="20"/>
  <c r="AF54" i="20"/>
  <c r="AI52" i="20"/>
  <c r="AG55" i="20"/>
  <c r="Y52" i="20"/>
  <c r="Q52" i="20"/>
  <c r="AE51" i="20"/>
  <c r="W51" i="20"/>
  <c r="N51" i="20"/>
  <c r="Z55" i="20"/>
  <c r="W54" i="20"/>
  <c r="AD52" i="20"/>
  <c r="AF52" i="20"/>
  <c r="H52" i="20"/>
  <c r="AD54" i="20"/>
  <c r="M51" i="20"/>
  <c r="G55" i="20"/>
  <c r="AE55" i="20"/>
  <c r="O55" i="20"/>
  <c r="L54" i="20"/>
  <c r="P51" i="20"/>
  <c r="AI55" i="20"/>
  <c r="AH55" i="20"/>
  <c r="AJ52" i="20"/>
  <c r="R52" i="20"/>
  <c r="J52" i="20"/>
  <c r="AG51" i="20"/>
  <c r="O51" i="20"/>
  <c r="F51" i="20"/>
  <c r="AF55" i="20"/>
  <c r="S54" i="20"/>
  <c r="U55" i="20"/>
  <c r="M55" i="20"/>
  <c r="J54" i="20"/>
  <c r="AG52" i="20"/>
  <c r="X52" i="20"/>
  <c r="O52" i="20"/>
  <c r="F52" i="20"/>
  <c r="AD51" i="20"/>
  <c r="L55" i="20"/>
  <c r="AI54" i="20"/>
  <c r="Q54" i="20"/>
  <c r="H54" i="20"/>
  <c r="F7" i="37" l="1"/>
  <c r="D5" i="37"/>
  <c r="E7" i="37" s="1"/>
  <c r="D9" i="36"/>
  <c r="D10" i="36" s="1"/>
  <c r="D11" i="36" s="1"/>
  <c r="D12" i="36" s="1"/>
  <c r="D13" i="36" s="1"/>
  <c r="D14" i="36" s="1"/>
  <c r="D15" i="36" s="1"/>
  <c r="D16" i="36" s="1"/>
  <c r="E9" i="36"/>
  <c r="E10" i="36" s="1"/>
  <c r="E11" i="36" s="1"/>
  <c r="E12" i="36" s="1"/>
  <c r="E13" i="36" s="1"/>
  <c r="E14" i="36" s="1"/>
  <c r="E15" i="36" s="1"/>
  <c r="E16" i="36" s="1"/>
  <c r="E17" i="37"/>
  <c r="J17" i="37" s="1"/>
  <c r="D17" i="37"/>
  <c r="I17" i="37" s="1"/>
  <c r="P12" i="38"/>
  <c r="I13" i="38"/>
  <c r="F13" i="38"/>
  <c r="F11" i="38" s="1"/>
  <c r="M12" i="38"/>
  <c r="H18" i="38"/>
  <c r="O17" i="38"/>
  <c r="I18" i="38"/>
  <c r="P17" i="38"/>
  <c r="F18" i="38"/>
  <c r="M17" i="38"/>
  <c r="F13" i="37"/>
  <c r="K12" i="37"/>
  <c r="L7" i="37"/>
  <c r="G8" i="37"/>
  <c r="K12" i="38"/>
  <c r="Q46" i="37"/>
  <c r="E47" i="37"/>
  <c r="Q47" i="37" s="1"/>
  <c r="L22" i="38"/>
  <c r="G22" i="38"/>
  <c r="N22" i="38" s="1"/>
  <c r="G13" i="37"/>
  <c r="L12" i="37"/>
  <c r="Y31" i="20"/>
  <c r="T30" i="20"/>
  <c r="P29" i="20"/>
  <c r="O40" i="1"/>
  <c r="X31" i="20"/>
  <c r="S30" i="20"/>
  <c r="O29" i="20"/>
  <c r="W31" i="20"/>
  <c r="R30" i="20"/>
  <c r="N29" i="20"/>
  <c r="AB8" i="1"/>
  <c r="H8" i="38"/>
  <c r="U31" i="20"/>
  <c r="Q30" i="20"/>
  <c r="M29" i="20"/>
  <c r="I8" i="38"/>
  <c r="T31" i="20"/>
  <c r="P30" i="20"/>
  <c r="L29" i="20"/>
  <c r="Q43" i="37"/>
  <c r="L8" i="38"/>
  <c r="S31" i="20"/>
  <c r="O30" i="20"/>
  <c r="K29" i="20"/>
  <c r="R31" i="20"/>
  <c r="N30" i="20"/>
  <c r="J29" i="20"/>
  <c r="AB52" i="20"/>
  <c r="C5" i="37"/>
  <c r="D7" i="37" s="1"/>
  <c r="H9" i="38"/>
  <c r="Q31" i="20"/>
  <c r="M30" i="20"/>
  <c r="H29" i="20"/>
  <c r="I9" i="38"/>
  <c r="I10" i="38" s="1"/>
  <c r="I11" i="38" s="1"/>
  <c r="P31" i="20"/>
  <c r="L30" i="20"/>
  <c r="G29" i="20"/>
  <c r="L9" i="38"/>
  <c r="O31" i="20"/>
  <c r="K30" i="20"/>
  <c r="F29" i="20"/>
  <c r="N31" i="20"/>
  <c r="J30" i="20"/>
  <c r="M31" i="20"/>
  <c r="H30" i="20"/>
  <c r="L31" i="20"/>
  <c r="G30" i="20"/>
  <c r="L58" i="20"/>
  <c r="K31" i="20"/>
  <c r="F30" i="20"/>
  <c r="J31" i="20"/>
  <c r="AJ29" i="20"/>
  <c r="Z51" i="20"/>
  <c r="H31" i="20"/>
  <c r="AI29" i="20"/>
  <c r="T52" i="20"/>
  <c r="G31" i="20"/>
  <c r="AH29" i="20"/>
  <c r="R54" i="20"/>
  <c r="F31" i="20"/>
  <c r="AG29" i="20"/>
  <c r="E26" i="20"/>
  <c r="AJ30" i="20"/>
  <c r="AF29" i="20"/>
  <c r="W55" i="20"/>
  <c r="S55" i="20"/>
  <c r="AI30" i="20"/>
  <c r="AE29" i="20"/>
  <c r="AA54" i="20"/>
  <c r="AH30" i="20"/>
  <c r="AD29" i="20"/>
  <c r="X51" i="20"/>
  <c r="AB51" i="20"/>
  <c r="AG30" i="20"/>
  <c r="AB29" i="20"/>
  <c r="E27" i="20"/>
  <c r="AJ31" i="20"/>
  <c r="AF30" i="20"/>
  <c r="AA29" i="20"/>
  <c r="G50" i="38"/>
  <c r="AI31" i="20"/>
  <c r="AE30" i="20"/>
  <c r="Z29" i="20"/>
  <c r="AH31" i="20"/>
  <c r="AD30" i="20"/>
  <c r="Y29" i="20"/>
  <c r="AG31" i="20"/>
  <c r="AB30" i="20"/>
  <c r="X29" i="20"/>
  <c r="AA55" i="20"/>
  <c r="D22" i="38"/>
  <c r="K22" i="38" s="1"/>
  <c r="AF31" i="20"/>
  <c r="AA30" i="20"/>
  <c r="W29" i="20"/>
  <c r="AE31" i="20"/>
  <c r="Z30" i="20"/>
  <c r="U29" i="20"/>
  <c r="AD31" i="20"/>
  <c r="Y30" i="20"/>
  <c r="T29" i="20"/>
  <c r="AB31" i="20"/>
  <c r="X30" i="20"/>
  <c r="S29" i="20"/>
  <c r="AA31" i="20"/>
  <c r="W30" i="20"/>
  <c r="R29" i="20"/>
  <c r="Z31" i="20"/>
  <c r="U30" i="20"/>
  <c r="F10" i="38" l="1"/>
  <c r="M10" i="38" s="1"/>
  <c r="M11" i="38"/>
  <c r="L8" i="37"/>
  <c r="G9" i="37"/>
  <c r="E31" i="20"/>
  <c r="F14" i="37"/>
  <c r="K13" i="37"/>
  <c r="L13" i="37"/>
  <c r="G14" i="37"/>
  <c r="D13" i="38"/>
  <c r="E54" i="20"/>
  <c r="E51" i="20"/>
  <c r="P13" i="38"/>
  <c r="I14" i="38"/>
  <c r="H10" i="38"/>
  <c r="H11" i="38" s="1"/>
  <c r="P18" i="38"/>
  <c r="I19" i="38"/>
  <c r="E30" i="20"/>
  <c r="M18" i="38"/>
  <c r="F19" i="38"/>
  <c r="O18" i="38"/>
  <c r="H19" i="38"/>
  <c r="E19" i="36"/>
  <c r="E52" i="20"/>
  <c r="E55" i="20"/>
  <c r="M13" i="38"/>
  <c r="F14" i="38"/>
  <c r="D19" i="36"/>
  <c r="E29" i="20"/>
  <c r="E8" i="37"/>
  <c r="J7" i="37"/>
  <c r="D8" i="37"/>
  <c r="I7" i="37"/>
  <c r="H12" i="38"/>
  <c r="D5" i="38"/>
  <c r="E10" i="38" s="1"/>
  <c r="F8" i="37"/>
  <c r="K7" i="37"/>
  <c r="E9" i="37" l="1"/>
  <c r="J8" i="37"/>
  <c r="I20" i="38"/>
  <c r="P19" i="38"/>
  <c r="F15" i="38"/>
  <c r="M14" i="38"/>
  <c r="F20" i="38"/>
  <c r="M19" i="38"/>
  <c r="P14" i="38"/>
  <c r="I15" i="38"/>
  <c r="K13" i="38"/>
  <c r="D14" i="38"/>
  <c r="L9" i="37"/>
  <c r="G10" i="37"/>
  <c r="H20" i="38"/>
  <c r="O19" i="38"/>
  <c r="L14" i="37"/>
  <c r="G15" i="37"/>
  <c r="O12" i="38"/>
  <c r="H13" i="38"/>
  <c r="F15" i="37"/>
  <c r="K14" i="37"/>
  <c r="F9" i="37"/>
  <c r="K8" i="37"/>
  <c r="G10" i="38"/>
  <c r="N10" i="38" s="1"/>
  <c r="E11" i="38"/>
  <c r="L10" i="38"/>
  <c r="I8" i="37"/>
  <c r="D9" i="37"/>
  <c r="F16" i="37" l="1"/>
  <c r="K16" i="37" s="1"/>
  <c r="K15" i="37"/>
  <c r="L11" i="38"/>
  <c r="G11" i="38"/>
  <c r="N11" i="38" s="1"/>
  <c r="E12" i="38"/>
  <c r="F10" i="37"/>
  <c r="K9" i="37"/>
  <c r="H14" i="38"/>
  <c r="O13" i="38"/>
  <c r="G11" i="37"/>
  <c r="L10" i="37"/>
  <c r="M15" i="38"/>
  <c r="F16" i="38"/>
  <c r="M16" i="38" s="1"/>
  <c r="D15" i="38"/>
  <c r="K14" i="38"/>
  <c r="P15" i="38"/>
  <c r="I16" i="38"/>
  <c r="E10" i="37"/>
  <c r="J9" i="37"/>
  <c r="L15" i="37"/>
  <c r="G16" i="37"/>
  <c r="L16" i="37" s="1"/>
  <c r="O20" i="38"/>
  <c r="H21" i="38"/>
  <c r="O21" i="38" s="1"/>
  <c r="M20" i="38"/>
  <c r="F21" i="38"/>
  <c r="M21" i="38" s="1"/>
  <c r="I21" i="38"/>
  <c r="P21" i="38" s="1"/>
  <c r="P20" i="38"/>
  <c r="D10" i="37"/>
  <c r="I9" i="37"/>
  <c r="I10" i="37" l="1"/>
  <c r="D11" i="37"/>
  <c r="P16" i="38"/>
  <c r="I24" i="38"/>
  <c r="L12" i="38"/>
  <c r="E13" i="38"/>
  <c r="G12" i="38"/>
  <c r="N12" i="38" s="1"/>
  <c r="B12" i="38"/>
  <c r="J10" i="37"/>
  <c r="E11" i="37"/>
  <c r="K15" i="38"/>
  <c r="D16" i="38"/>
  <c r="L11" i="37"/>
  <c r="G19" i="37"/>
  <c r="O14" i="38"/>
  <c r="H15" i="38"/>
  <c r="K10" i="37"/>
  <c r="F11" i="37"/>
  <c r="K11" i="37" s="1"/>
  <c r="F19" i="37" l="1"/>
  <c r="O15" i="38"/>
  <c r="H16" i="38"/>
  <c r="O16" i="38" s="1"/>
  <c r="H24" i="38"/>
  <c r="G20" i="37"/>
  <c r="K16" i="38"/>
  <c r="D17" i="38"/>
  <c r="J11" i="37"/>
  <c r="E12" i="37"/>
  <c r="E14" i="38"/>
  <c r="G13" i="38"/>
  <c r="N13" i="38" s="1"/>
  <c r="L13" i="38"/>
  <c r="I25" i="38"/>
  <c r="D12" i="37"/>
  <c r="I11" i="37"/>
  <c r="I12" i="37" l="1"/>
  <c r="D13" i="37"/>
  <c r="H25" i="38"/>
  <c r="L14" i="38"/>
  <c r="G14" i="38"/>
  <c r="N14" i="38" s="1"/>
  <c r="E15" i="38"/>
  <c r="E13" i="37"/>
  <c r="J12" i="37"/>
  <c r="K17" i="38"/>
  <c r="D18" i="38"/>
  <c r="F20" i="37"/>
  <c r="D19" i="38" l="1"/>
  <c r="K18" i="38"/>
  <c r="J13" i="37"/>
  <c r="E14" i="37"/>
  <c r="E16" i="38"/>
  <c r="G15" i="38"/>
  <c r="N15" i="38" s="1"/>
  <c r="L15" i="38"/>
  <c r="I13" i="37"/>
  <c r="D14" i="37"/>
  <c r="D15" i="37" l="1"/>
  <c r="I14" i="37"/>
  <c r="E15" i="37"/>
  <c r="J14" i="37"/>
  <c r="L16" i="38"/>
  <c r="G16" i="38"/>
  <c r="N16" i="38" s="1"/>
  <c r="E17" i="38"/>
  <c r="K19" i="38"/>
  <c r="D20" i="38"/>
  <c r="D21" i="38" l="1"/>
  <c r="K20" i="38"/>
  <c r="E16" i="37"/>
  <c r="J15" i="37"/>
  <c r="E18" i="38"/>
  <c r="G17" i="38"/>
  <c r="N17" i="38" s="1"/>
  <c r="L17" i="38"/>
  <c r="D16" i="37"/>
  <c r="I15" i="37"/>
  <c r="I16" i="37" l="1"/>
  <c r="D19" i="37"/>
  <c r="L18" i="38"/>
  <c r="G18" i="38"/>
  <c r="N18" i="38" s="1"/>
  <c r="E19" i="38"/>
  <c r="J16" i="37"/>
  <c r="E19" i="37"/>
  <c r="K21" i="38"/>
  <c r="D24" i="38"/>
  <c r="D25" i="38" l="1"/>
  <c r="E20" i="37"/>
  <c r="E23" i="37"/>
  <c r="G23" i="37"/>
  <c r="F23" i="37"/>
  <c r="E20" i="38"/>
  <c r="L19" i="38"/>
  <c r="G19" i="38"/>
  <c r="N19" i="38" s="1"/>
  <c r="D23" i="37"/>
  <c r="D20" i="37"/>
  <c r="E21" i="38" l="1"/>
  <c r="L20" i="38"/>
  <c r="G20" i="38"/>
  <c r="N20" i="38" s="1"/>
  <c r="L21" i="38" l="1"/>
  <c r="G21" i="38"/>
  <c r="N21" i="38" s="1"/>
  <c r="E24" i="38"/>
  <c r="E25" i="38" l="1"/>
  <c r="E28" i="38"/>
  <c r="I28" i="38"/>
  <c r="H28" i="38"/>
  <c r="D28" i="38"/>
</calcChain>
</file>

<file path=xl/comments1.xml><?xml version="1.0" encoding="utf-8"?>
<comments xmlns="http://schemas.openxmlformats.org/spreadsheetml/2006/main">
  <authors>
    <author/>
  </authors>
  <commentList>
    <comment ref="D33" authorId="0" shapeId="0">
      <text>
        <r>
          <rPr>
            <sz val="11"/>
            <color theme="1"/>
            <rFont val="Calibri"/>
            <family val="2"/>
            <scheme val="minor"/>
          </rPr>
          <t xml:space="preserve">AUT: NA
BEL: NA
BGR: NO
CYP: NE
CZE: NA,NE
DNM: NE
EST: NO
FIN: NE,NO
FRK: NO
DEU: NA
GRC: NE
HRV: NA
HUN: NA
IRL: NE
ITA: NE
LVA: NE
LTU: NA
LUX: NO
MLT: NA,NE
NLD: NO
POL: NA
PRT: NO
ROU: NE
SVK: NO
SVN: NO
ESP: IE
SWE: NO VALUE
GBE: NE
</t>
        </r>
      </text>
    </comment>
    <comment ref="C37" authorId="0" shapeId="0">
      <text>
        <r>
          <rPr>
            <sz val="11"/>
            <color theme="1"/>
            <rFont val="Calibri"/>
            <family val="2"/>
            <scheme val="minor"/>
          </rPr>
          <t xml:space="preserve">AUT: 11.75907857142857
BEL: 9.11447140173564
BGR: 21.48701060969708
CYP: 0.9665
CZE: 74.17142857142858
DNM: 0.44
EST: 1.40775066666667
FIN: 1.137547
FRK: 887.636357142857
DEU: 597.99535687
GRC: 31.91466666666667
HRV: 70.97346666666668
HUN: 87.44394392192484
IRL: 27.89746666666667
ITA: 506.92055333333343
LVA: 1.4256
LTU: 31.54121863799283
LUX: NE
MLT: NE
NLD: IE
POL: 347.04236629191274
PRT: 18.8895810144928
ROU: 52.7537155072464
SVK: 20.31261318400428
SVN: 11.651743
ESP: 323.51
SWE: 0.38101449275362
GBE: 227.93753623188408
</t>
        </r>
      </text>
    </comment>
    <comment ref="K37" authorId="0" shapeId="0">
      <text>
        <r>
          <rPr>
            <sz val="11"/>
            <color theme="1"/>
            <rFont val="Calibri"/>
            <family val="2"/>
            <scheme val="minor"/>
          </rPr>
          <t xml:space="preserve">AUT: 11.75907857142857
BEL: 9.11447140173564
BGR: 21.48701060969708
CYP: 0.9665
CZE: 74.17142857142858
DNM: 0.44
EST: 1.40775066666667
FIN: 1.137547
FRK: 887.636357142857
DEU: 597.99535687
GRC: 31.91466666666667
HRV: 70.97346666666668
HUN: 87.44394392192484
IRL: 27.89746666666667
ITA: 506.92055333333343
LVA: 1.4256
LTU: 31.54121863799283
LUX: NE
MLT: NE
NLD: IE
POL: 347.04236629191274
PRT: 18.8895810144928
ROU: 52.7537155072464
SVK: 20.31261318400428
SVN: 11.651743
ESP: 323.51
SWE: 0.38101449275362
GBE: 227.93753623188408
</t>
        </r>
      </text>
    </comment>
    <comment ref="C38" authorId="0" shapeId="0">
      <text>
        <r>
          <rPr>
            <sz val="11"/>
            <color theme="1"/>
            <rFont val="Calibri"/>
            <family val="2"/>
            <scheme val="minor"/>
          </rPr>
          <t xml:space="preserve">AUT: NA
BEL: NO
BGR: NO
CYP: NO
CZE: NO
DNM: 1.672
EST: NO
FIN: NA
FRK: NO
DEU: IE
GRC: NO
HRV: NA
HUN: 21.6701021691363
IRL: NO
ITA: NO
LVA: NO
LTU: NO
LUX: NO
MLT: NO
NLD: NO
POL: NO
PRT: NO
ROU: NO
SVK: NO
SVN: NO
ESP: NO
SWE: NO
GBE: NO
</t>
        </r>
      </text>
    </comment>
    <comment ref="K38" authorId="0" shapeId="0">
      <text>
        <r>
          <rPr>
            <sz val="11"/>
            <color theme="1"/>
            <rFont val="Calibri"/>
            <family val="2"/>
            <scheme val="minor"/>
          </rPr>
          <t xml:space="preserve">AUT: NA
BEL: NO
BGR: NO
CYP: NO
CZE: NO
DNM: 1.672
EST: NO
FIN: NA
FRK: NO
DEU: IE
GRC: NO
HRV: NA
HUN: 21.6701021691363
IRL: NO
ITA: NO
LVA: NO
LTU: NO
LUX: NO
MLT: NO
NLD: NO
POL: NO
PRT: NO
ROU: NO
SVK: NO
SVN: NO
ESP: NO
SWE: NO
GBE: NO
</t>
        </r>
      </text>
    </comment>
    <comment ref="C39" authorId="0" shapeId="0">
      <text>
        <r>
          <rPr>
            <sz val="11"/>
            <color theme="1"/>
            <rFont val="Calibri"/>
            <family val="2"/>
            <scheme val="minor"/>
          </rPr>
          <t xml:space="preserve">AUT: NA
BEL: NO
BGR: NO VALUE
CYP: NO VALUE
CZE: NO
DNM: NO
EST: NO
FIN: NO
FRK: NO
DEU: NA,NO
GRC: NO VALUE
HRV: NO
HUN: NO
IRL: NO
ITA: NO
LVA: NO
LTU: NO
LUX: NO
MLT: NO VALUE
NLD: NO
POL: NO
PRT: NO
ROU: NO
SVK: NO
SVN: NO
ESP: NO
SWE: NO VALUE
GBE: NO
</t>
        </r>
      </text>
    </comment>
    <comment ref="D39" authorId="0" shapeId="0">
      <text>
        <r>
          <rPr>
            <sz val="11"/>
            <color theme="1"/>
            <rFont val="Calibri"/>
            <family val="2"/>
            <scheme val="minor"/>
          </rPr>
          <t xml:space="preserve">AUT: NA
BEL: NO
BGR: NO VALUE
CYP: NO VALUE
CZE: NO
DNM: NO
EST: NO
FIN: NO
FRK: NO
DEU: 9.78092957
GRC: NO VALUE
HRV: NO
HUN: NO
IRL: NO
ITA: NO
LVA: NO
LTU: NO
LUX: NO
MLT: NA
NLD: NA
POL: NA
PRT: NO
ROU: NO
SVK: NO
SVN: NO
ESP: NO
SWE: NO VALUE
GBE: NO
</t>
        </r>
      </text>
    </comment>
    <comment ref="E39" authorId="0" shapeId="0">
      <text>
        <r>
          <rPr>
            <sz val="11"/>
            <color theme="1"/>
            <rFont val="Calibri"/>
            <family val="2"/>
            <scheme val="minor"/>
          </rPr>
          <t xml:space="preserve">AUT: NA
BEL: NO
BGR: NO VALUE
CYP: NO VALUE
CZE: NO
DNM: NO
EST: NO
FIN: NO
FRK: NO
DEU: 0.32693536
GRC: NO VALUE
HRV: NO
HUN: NO
IRL: NO
ITA: NO
LVA: NO
LTU: NO
LUX: NO
MLT: NA
NLD: NA
POL: NA
PRT: NO
ROU: NO
SVK: NO
SVN: NO
ESP: NO
SWE: NO VALUE
GBE: NO
</t>
        </r>
      </text>
    </comment>
    <comment ref="C48" authorId="0" shapeId="0">
      <text>
        <r>
          <rPr>
            <sz val="11"/>
            <color theme="1"/>
            <rFont val="Calibri"/>
            <family val="2"/>
            <scheme val="minor"/>
          </rPr>
          <t xml:space="preserve">AUT: NO
BEL: NO
BGR: NO
CYP: NO
CZE: NO
DNM: NO VALUE
EST: NO
FIN: NA
FRK: 309.976333333333
DEU: NO,IE
GRC: NO
HRV: NO
HUN: NA
IRL: NO
ITA: NO
LVA: NO
LTU: NO
LUX: NO
MLT: NO
NLD: IE,NE,NO
POL: NA
PRT: NO
ROU: NO VALUE
SVK: NO
SVN: NO
ESP: NO
SWE: NO
GBE: NA
</t>
        </r>
      </text>
    </comment>
    <comment ref="D48" authorId="0" shapeId="0">
      <text>
        <r>
          <rPr>
            <sz val="11"/>
            <color theme="1"/>
            <rFont val="Calibri"/>
            <family val="2"/>
            <scheme val="minor"/>
          </rPr>
          <t xml:space="preserve">AUT: NO
BEL: NO
BGR: NO
CYP: NO
CZE: NO
DNM: NO VALUE
EST: NO
FIN: NA
FRK: 12.2533333333333
DEU: NO,IE
GRC: NO
HRV: NO
HUN: NA
IRL: NO
ITA: NO
LVA: NO
LTU: NO
LUX: NO
MLT: NO
NLD: IE,NE,NO
POL: NA
PRT: NO
ROU: NO VALUE
SVK: NO
SVN: NO
ESP: NO
SWE: NO
GBE: NA
</t>
        </r>
      </text>
    </comment>
    <comment ref="E48" authorId="0" shapeId="0">
      <text>
        <r>
          <rPr>
            <sz val="11"/>
            <color theme="1"/>
            <rFont val="Calibri"/>
            <family val="2"/>
            <scheme val="minor"/>
          </rPr>
          <t xml:space="preserve">AUT: NO
BEL: NO
BGR: NO
CYP: NO
CZE: NO
DNM: NO VALUE
EST: NO
FIN: NA
FRK: NA
DEU: 0.23789691498266
GRC: NO
HRV: NO
HUN: NA
IRL: NO
ITA: NO
LVA: NO
LTU: NO
LUX: NO
MLT: NO
NLD: IE,NE,NO
POL: NA
PRT: NO
ROU: NO VALUE
SVK: NO
SVN: NO
ESP: NO
SWE: NO
GBE: NA
</t>
        </r>
      </text>
    </comment>
    <comment ref="C54" authorId="0" shapeId="0">
      <text>
        <r>
          <rPr>
            <sz val="11"/>
            <color theme="1"/>
            <rFont val="Calibri"/>
            <family val="2"/>
            <scheme val="minor"/>
          </rPr>
          <t xml:space="preserve">AUT: NO
BEL: NO
BGR: NO
CYP: NO
CZE: NO
DNM: 18.1321920616278
EST: NA
FIN: NO
FRK: NO
DEU: NA
GRC: NO
HRV: NO
HUN: NO
IRL: NO
ITA: NO
LVA: NO
LTU: NO
LUX: NO
MLT: NO
NLD: NO
POL: NO
PRT: NA
ROU: NA
SVK: NO
SVN: NO
ESP: NA
SWE: NO VALUE
GBE: NO
</t>
        </r>
      </text>
    </comment>
    <comment ref="D54" authorId="0" shapeId="0">
      <text>
        <r>
          <rPr>
            <sz val="11"/>
            <color theme="1"/>
            <rFont val="Calibri"/>
            <family val="2"/>
            <scheme val="minor"/>
          </rPr>
          <t xml:space="preserve">AUT: NO
BEL: NO
BGR: NO
CYP: NO
CZE: NO
DNM: 0.07803232181914
EST: NO
FIN: NO
FRK: NO
DEU: 0.252
GRC: NO
HRV: NO
HUN: NO
IRL: NO
ITA: NO
LVA: NO
LTU: NO
LUX: NO
MLT: NO
NLD: NO
POL: NO
PRT: 0.0002660847042
ROU: NA
SVK: NO
SVN: NO
ESP: 0.701496474
SWE: NO VALUE
GBE: NO
</t>
        </r>
      </text>
    </comment>
    <comment ref="E54" authorId="0" shapeId="0">
      <text>
        <r>
          <rPr>
            <sz val="11"/>
            <color theme="1"/>
            <rFont val="Calibri"/>
            <family val="2"/>
            <scheme val="minor"/>
          </rPr>
          <t xml:space="preserve">AUT: NO
BEL: NO
BGR: NO
CYP: NO
CZE: NO
DNM: NA
EST: NO
FIN: NO
FRK: NO
DEU: 0.435141
GRC: NO
HRV: NO
HUN: NO
IRL: NO
ITA: NO
LVA: NO
LTU: NO
LUX: NO
MLT: NO
NLD: NO
POL: NO
PRT: 0.00002660847042
ROU: NA
SVK: NO
SVN: NO
ESP: NA
SWE: NO VALUE
GBE: NO
</t>
        </r>
      </text>
    </comment>
    <comment ref="C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D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E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F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G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H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I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J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C61" authorId="0" shapeId="0">
      <text>
        <r>
          <rPr>
            <sz val="11"/>
            <color theme="1"/>
            <rFont val="Calibri"/>
            <family val="2"/>
            <scheme val="minor"/>
          </rPr>
          <t xml:space="preserve">AUT: NO
BEL: NO
BGR: NO
CYP: NO
CZE: NO
DNM: NE
EST: NO
FIN: NO
FRK: 1.08
DEU: NO
GRC: NO
HRV: C
HUN: NO
IRL: NO
ITA: NE
LVA: NA
LTU: NO
LUX: NO
MLT: NO
NLD: IE
POL: NA
PRT: NO
ROU: NO VALUE
SVK: NO
SVN: 0.4358354
ESP: NO
SWE: 14.15829602
GBE: NO
</t>
        </r>
      </text>
    </comment>
    <comment ref="D61" authorId="0" shapeId="0">
      <text>
        <r>
          <rPr>
            <sz val="11"/>
            <color theme="1"/>
            <rFont val="Calibri"/>
            <family val="2"/>
            <scheme val="minor"/>
          </rPr>
          <t xml:space="preserve">AUT: NO
BEL: NO
BGR: NO
CYP: NO
CZE: NO
DNM: NE
EST: NO
FIN: NO
FRK: NE
DEU: NO
GRC: NO
HRV: C
HUN: NO
IRL: NO
ITA: NE
LVA: NA
LTU: NO
LUX: NO
MLT: NO
NLD: IE
POL: NA
PRT: NO
ROU: NO VALUE
SVK: NO
SVN: 0.0000030478
ESP: NO
SWE: 0.00016366718037
GBE: NO
</t>
        </r>
      </text>
    </comment>
    <comment ref="E61" authorId="0" shapeId="0">
      <text>
        <r>
          <rPr>
            <sz val="11"/>
            <color theme="1"/>
            <rFont val="Calibri"/>
            <family val="2"/>
            <scheme val="minor"/>
          </rPr>
          <t xml:space="preserve">AUT: NO
BEL: NO
BGR: NO
CYP: NO
CZE: NO
DNM: NE
EST: NO
FIN: NO
FRK: NE
DEU: NO
GRC: NO
HRV: C
HUN: NO
IRL: NO
ITA: NE
LVA: NA
LTU: NO
LUX: NO
MLT: NO
NLD: IE
POL: NA
PRT: NO
ROU: NO VALUE
SVK: NO
SVN: 0.0000121912
ESP: NO
SWE: 0.00065962484214
GBE: NO
</t>
        </r>
      </text>
    </comment>
    <comment ref="C64" authorId="0" shapeId="0">
      <text>
        <r>
          <rPr>
            <sz val="11"/>
            <color theme="1"/>
            <rFont val="Calibri"/>
            <family val="2"/>
            <scheme val="minor"/>
          </rPr>
          <t xml:space="preserve">AUT: 29,341.30449608295
BEL: NO VALUE
BGR: NE
CYP: NE
CZE: 29,472.03701243849
DNM: NE
EST: 2,540.89318140776
FIN: 50,428.270100000002
FRK: NO VALUE
DEU: NA
GRC: NE
HRV: NE
HUN: 9,887.0212293710465
IRL: NE
ITA: NO
LVA: NA
LTU: 3,252.5713464409428
LUX: NE
MLT: NE
NLD: NO
POL: 28,830.942946243591
PRT: NE
ROU: NA
SVK: 8,564.3643062412939
SVN: 5,838.9545600762358
ESP: NE
SWE: NE
GBE: NE
</t>
        </r>
      </text>
    </comment>
    <comment ref="K64" authorId="0" shapeId="0">
      <text>
        <r>
          <rPr>
            <sz val="11"/>
            <color theme="1"/>
            <rFont val="Calibri"/>
            <family val="2"/>
            <scheme val="minor"/>
          </rPr>
          <t xml:space="preserve">AUT: 29,341.30449608295
BEL: NO VALUE
BGR: NE
CYP: NE
CZE: 29,472.03701243849
DNM: NE
EST: 2,540.89318140776
FIN: 50,428.270100000002
FRK: NO VALUE
DEU: NA
GRC: NE
HRV: NE
HUN: 9,887.0212293710465
IRL: NE
ITA: NO
LVA: NA
LTU: 3,252.5713464409428
LUX: NE
MLT: NE
NLD: NO
POL: 28,830.942946243591
PRT: NE
ROU: NA
SVK: 8,564.3643062412939
SVN: 5,838.9545600762358
ESP: NE
SWE: NE
GBE: NE
</t>
        </r>
      </text>
    </comment>
  </commentList>
</comments>
</file>

<file path=xl/sharedStrings.xml><?xml version="1.0" encoding="utf-8"?>
<sst xmlns="http://schemas.openxmlformats.org/spreadsheetml/2006/main" count="11343" uniqueCount="740">
  <si>
    <t>~UC_Sets: R_E: AllRegions</t>
  </si>
  <si>
    <t>UC_N</t>
  </si>
  <si>
    <t>Pset_CI</t>
  </si>
  <si>
    <t>Year</t>
  </si>
  <si>
    <t>Pset_PN</t>
  </si>
  <si>
    <t>Pset_Set</t>
  </si>
  <si>
    <t>Cset_CN</t>
  </si>
  <si>
    <t>Pset_CO</t>
  </si>
  <si>
    <t>Attribute</t>
  </si>
  <si>
    <t>LimType</t>
  </si>
  <si>
    <t>~UC_Sets: T_E:</t>
  </si>
  <si>
    <t>UC_Desc</t>
  </si>
  <si>
    <t>UC - Each Region/Period</t>
  </si>
  <si>
    <t>UK</t>
  </si>
  <si>
    <t>SK</t>
  </si>
  <si>
    <t>SI</t>
  </si>
  <si>
    <t>SE</t>
  </si>
  <si>
    <t>RS</t>
  </si>
  <si>
    <t>RO</t>
  </si>
  <si>
    <t>PT</t>
  </si>
  <si>
    <t>PL</t>
  </si>
  <si>
    <t>NO</t>
  </si>
  <si>
    <t>NL</t>
  </si>
  <si>
    <t>MT</t>
  </si>
  <si>
    <t>MK</t>
  </si>
  <si>
    <t>ME</t>
  </si>
  <si>
    <t>LV</t>
  </si>
  <si>
    <t>LU</t>
  </si>
  <si>
    <t>LT</t>
  </si>
  <si>
    <t>KS</t>
  </si>
  <si>
    <t>IT</t>
  </si>
  <si>
    <t>IS</t>
  </si>
  <si>
    <t>IE</t>
  </si>
  <si>
    <t>HU</t>
  </si>
  <si>
    <t>HR</t>
  </si>
  <si>
    <t>FR</t>
  </si>
  <si>
    <t>FI</t>
  </si>
  <si>
    <t>ES</t>
  </si>
  <si>
    <t>EL</t>
  </si>
  <si>
    <t>EE</t>
  </si>
  <si>
    <t>DK</t>
  </si>
  <si>
    <t>DE</t>
  </si>
  <si>
    <t>CZ</t>
  </si>
  <si>
    <t>CY</t>
  </si>
  <si>
    <t>CH</t>
  </si>
  <si>
    <t>BG</t>
  </si>
  <si>
    <t>BE</t>
  </si>
  <si>
    <t>BA</t>
  </si>
  <si>
    <t>AT</t>
  </si>
  <si>
    <t>AL</t>
  </si>
  <si>
    <t>UC_COMNET</t>
  </si>
  <si>
    <t>RSDCO2N,COMCO2N,AGRCO2N,SE_TRACO2N,NETSCO2</t>
  </si>
  <si>
    <t>~UC_T: UC_RHSRT~UP</t>
  </si>
  <si>
    <t>UC_RHSRT~UP~0</t>
  </si>
  <si>
    <t>ETS</t>
  </si>
  <si>
    <t>Maximum annual flexibility (as a % of 2005 non-ETS emissions)</t>
  </si>
  <si>
    <t>Country</t>
  </si>
  <si>
    <t>2030 target compared to 2005</t>
  </si>
  <si>
    <t>One-off flexibility from ETS to Effort Sharing Regulation</t>
  </si>
  <si>
    <t>Flexibility from land use sector to Effort Sharing Regulation*</t>
  </si>
  <si>
    <t>Total adjustment pursuant to Article 10(2) expressed in tonnes of CO2 equivalent</t>
  </si>
  <si>
    <t>Bulgaria</t>
  </si>
  <si>
    <t>Croatia</t>
  </si>
  <si>
    <t>Czech Republic</t>
  </si>
  <si>
    <t>Estonia</t>
  </si>
  <si>
    <t>Hungary</t>
  </si>
  <si>
    <t>Latvia</t>
  </si>
  <si>
    <t>Lithuania</t>
  </si>
  <si>
    <t>Poland</t>
  </si>
  <si>
    <t>Portugal</t>
  </si>
  <si>
    <t>Romania</t>
  </si>
  <si>
    <t>Slovakia</t>
  </si>
  <si>
    <t>Slovenia</t>
  </si>
  <si>
    <r>
      <t>Energy related CO</t>
    </r>
    <r>
      <rPr>
        <b/>
        <vertAlign val="subscript"/>
        <sz val="8"/>
        <color indexed="18"/>
        <rFont val="Tahoma"/>
        <family val="2"/>
      </rPr>
      <t>2</t>
    </r>
    <r>
      <rPr>
        <b/>
        <sz val="8"/>
        <color indexed="18"/>
        <rFont val="Tahoma"/>
        <family val="2"/>
        <charset val="161"/>
      </rPr>
      <t xml:space="preserve"> Emissions (Mt)</t>
    </r>
  </si>
  <si>
    <t>EU28:Reference scenario(REF2015f)</t>
  </si>
  <si>
    <t>Power and Distr. Steam</t>
  </si>
  <si>
    <t>Energy Branch</t>
  </si>
  <si>
    <t>Industry</t>
  </si>
  <si>
    <t>Residential</t>
  </si>
  <si>
    <t>Tertiary</t>
  </si>
  <si>
    <t>Transport</t>
  </si>
  <si>
    <r>
      <t>Total energy related CO</t>
    </r>
    <r>
      <rPr>
        <vertAlign val="subscript"/>
        <sz val="8"/>
        <rFont val="Tahoma"/>
        <family val="2"/>
      </rPr>
      <t>2</t>
    </r>
    <r>
      <rPr>
        <sz val="8"/>
        <rFont val="Tahoma"/>
        <family val="2"/>
      </rPr>
      <t xml:space="preserve"> Emissions</t>
    </r>
  </si>
  <si>
    <t>ETS excluding aviation</t>
  </si>
  <si>
    <t>Aviation</t>
  </si>
  <si>
    <t>non - ETS</t>
  </si>
  <si>
    <t>Total CO2 Emissions (Mt)</t>
  </si>
  <si>
    <t>Energy related CO2 emissions</t>
  </si>
  <si>
    <t>Non-energy related CO2 emissions</t>
  </si>
  <si>
    <t>EU28:Decarbonisation scenario(D40R27E30c)</t>
  </si>
  <si>
    <t>ETS 1.74% per year reduction</t>
  </si>
  <si>
    <t>TARGET</t>
  </si>
  <si>
    <t>Greenhouse gas emissions in ESD sectors</t>
  </si>
  <si>
    <t>ESD base year=100 / million tonnes CO2 equivalent</t>
  </si>
  <si>
    <t>Greenhouse gas emissions in non-ETS (Emissions Trading System) sectors - million tonnes CO2 equivalent</t>
  </si>
  <si>
    <t>geo\time</t>
  </si>
  <si>
    <t>2005</t>
  </si>
  <si>
    <t/>
  </si>
  <si>
    <t>2006</t>
  </si>
  <si>
    <t>2007</t>
  </si>
  <si>
    <t>2008</t>
  </si>
  <si>
    <t>2009</t>
  </si>
  <si>
    <t>2010</t>
  </si>
  <si>
    <t>2011</t>
  </si>
  <si>
    <t>2012</t>
  </si>
  <si>
    <t>2013</t>
  </si>
  <si>
    <t>2014</t>
  </si>
  <si>
    <t>2015</t>
  </si>
  <si>
    <t>EU (28 countries)</t>
  </si>
  <si>
    <t>Belgium</t>
  </si>
  <si>
    <t>Denmark</t>
  </si>
  <si>
    <t>Germany</t>
  </si>
  <si>
    <t>Ireland</t>
  </si>
  <si>
    <t>Greece</t>
  </si>
  <si>
    <t>Spain</t>
  </si>
  <si>
    <t>France</t>
  </si>
  <si>
    <t>Italy</t>
  </si>
  <si>
    <t>Cyprus</t>
  </si>
  <si>
    <t>Luxembourg</t>
  </si>
  <si>
    <t>Malta</t>
  </si>
  <si>
    <t>Netherlands</t>
  </si>
  <si>
    <t>Austria</t>
  </si>
  <si>
    <t>Finland</t>
  </si>
  <si>
    <t>Sweden</t>
  </si>
  <si>
    <t>United Kingdom</t>
  </si>
  <si>
    <t>Iceland</t>
  </si>
  <si>
    <t>:</t>
  </si>
  <si>
    <t>Norway</t>
  </si>
  <si>
    <t>Switzerland</t>
  </si>
  <si>
    <t>Source of Data:</t>
  </si>
  <si>
    <t>Eurostat</t>
  </si>
  <si>
    <t>Last update:</t>
  </si>
  <si>
    <t>29.03.2017</t>
  </si>
  <si>
    <t>Date of extraction:</t>
  </si>
  <si>
    <t>22 Apr 2017 19:57:13 CEST</t>
  </si>
  <si>
    <t>Hyperlink to the table:</t>
  </si>
  <si>
    <t>http://ec.europa.eu/eurostat/tgm/table.do?tab=table&amp;init=1&amp;plugin=1&amp;language=en&amp;pcode=t2020_35</t>
  </si>
  <si>
    <t>General Disclaimer of the EC website:</t>
  </si>
  <si>
    <t>http://ec.europa.eu/geninfo/legal_notices_en.htm</t>
  </si>
  <si>
    <t>Short Description:</t>
  </si>
  <si>
    <t>The indicator calculation is based on the emissions covered under the Effort Sharing Decision &lt;a href="http://eur-lex.europa.eu/LexUriServ/LexUriServ.do?uri=OJ:L:2009:140:0136:0148:EN:PDF"&gt;(406/2009/EC)&lt;/a&gt;. The Effort Sharing Decision sets national annual binding targets for emissions not covered under the EU emission trading scheme (ETS). The ESD emissions are calculated by deducting ETS verified emissions, CO2 emissions from domestic aviation and NF3 emissions from national total emissions. Total emissions are national totals reported under the UNFCCC (excluding LULUCF, international aviation and international maritime transport). For the period 2005-2012, additional emission estimates are deducted in order to reflect the current scope of the EU ETS, following the European Environment Agency methodology for calculating consistent time series.</t>
  </si>
  <si>
    <t>Code:</t>
  </si>
  <si>
    <t>t2020_35</t>
  </si>
  <si>
    <t>Germany (until 1990 former territory of the FRG)</t>
  </si>
  <si>
    <t>Liechtenstein</t>
  </si>
  <si>
    <t>Montenegro</t>
  </si>
  <si>
    <t>Former Yugoslav Republic of Macedonia, the</t>
  </si>
  <si>
    <t>Albania</t>
  </si>
  <si>
    <t>Turkey</t>
  </si>
  <si>
    <t>Code</t>
  </si>
  <si>
    <t>CO2TargetESR2030</t>
  </si>
  <si>
    <t>EffortSharingRegulation2030</t>
  </si>
  <si>
    <t>BLDJET</t>
  </si>
  <si>
    <t>UC_FLO</t>
  </si>
  <si>
    <t>SE_TRACO2N</t>
  </si>
  <si>
    <t>TOTAL</t>
  </si>
  <si>
    <t>TRACO2N</t>
  </si>
  <si>
    <t>TRA_BUNK</t>
  </si>
  <si>
    <t>Eurostat ESD emissions</t>
  </si>
  <si>
    <t xml:space="preserve">https://ec.europa.eu/clima/policies/effort/proposal_en#tab-0-0 </t>
  </si>
  <si>
    <t xml:space="preserve">https://ec.europa.eu/clima/policies/strategies/progress_en#tab-0-1 </t>
  </si>
  <si>
    <t xml:space="preserve">https://ec.europa.eu/clima/policies/effort/implementation_en </t>
  </si>
  <si>
    <t>Check if in 2010 and 2015 our ESR emissions are in line with the historical emissions.</t>
  </si>
  <si>
    <t>Table Name: T_200717_105304</t>
  </si>
  <si>
    <t xml:space="preserve">Active Unit:  </t>
  </si>
  <si>
    <t>Period</t>
  </si>
  <si>
    <t>Commodity</t>
  </si>
  <si>
    <t>Process</t>
  </si>
  <si>
    <t>Mt</t>
  </si>
  <si>
    <t>'2010</t>
  </si>
  <si>
    <t>VAR_FOut</t>
  </si>
  <si>
    <t>TRA_Bunk</t>
  </si>
  <si>
    <t>'2015</t>
  </si>
  <si>
    <t>Table Name: T_200717_101155</t>
  </si>
  <si>
    <t>Period\Region</t>
  </si>
  <si>
    <t>AGRCO2N</t>
  </si>
  <si>
    <t>COMCO2N</t>
  </si>
  <si>
    <t>NETSCO2</t>
  </si>
  <si>
    <t>RSDCO2N</t>
  </si>
  <si>
    <t>ESD CO2</t>
  </si>
  <si>
    <r>
      <t>SUMMARY 2   SUMMARY REPORT FOR CO</t>
    </r>
    <r>
      <rPr>
        <b/>
        <vertAlign val="subscript"/>
        <sz val="12"/>
        <rFont val="Times New Roman"/>
        <family val="1"/>
      </rPr>
      <t>2</t>
    </r>
    <r>
      <rPr>
        <b/>
        <sz val="12"/>
        <rFont val="Times New Roman"/>
        <family val="1"/>
      </rPr>
      <t xml:space="preserve"> EQUIVALENT EMISSIONS</t>
    </r>
  </si>
  <si>
    <t>Inventory 2005</t>
  </si>
  <si>
    <t>(Sheet 1 of 1)</t>
  </si>
  <si>
    <t>Submission 2017 v2</t>
  </si>
  <si>
    <t>EUROPEAN UNION</t>
  </si>
  <si>
    <t xml:space="preserve">GREENHOUSE GAS SOURCE AND </t>
  </si>
  <si>
    <r>
      <t>CO</t>
    </r>
    <r>
      <rPr>
        <b/>
        <vertAlign val="subscript"/>
        <sz val="9"/>
        <rFont val="Times New Roman"/>
        <family val="1"/>
      </rPr>
      <t>2</t>
    </r>
    <r>
      <rPr>
        <b/>
        <vertAlign val="superscript"/>
        <sz val="9"/>
        <rFont val="Times New Roman"/>
        <family val="1"/>
      </rPr>
      <t>(1)</t>
    </r>
  </si>
  <si>
    <r>
      <t>CH</t>
    </r>
    <r>
      <rPr>
        <b/>
        <vertAlign val="subscript"/>
        <sz val="9"/>
        <rFont val="Times New Roman"/>
        <family val="1"/>
      </rPr>
      <t>4</t>
    </r>
  </si>
  <si>
    <r>
      <t>N</t>
    </r>
    <r>
      <rPr>
        <b/>
        <vertAlign val="subscript"/>
        <sz val="9"/>
        <rFont val="Times New Roman"/>
        <family val="1"/>
      </rPr>
      <t>2</t>
    </r>
    <r>
      <rPr>
        <b/>
        <sz val="9"/>
        <rFont val="Times New Roman"/>
        <family val="1"/>
      </rPr>
      <t>O</t>
    </r>
  </si>
  <si>
    <t xml:space="preserve">HFCs </t>
  </si>
  <si>
    <t>PFCs</t>
  </si>
  <si>
    <r>
      <t>SF</t>
    </r>
    <r>
      <rPr>
        <b/>
        <vertAlign val="subscript"/>
        <sz val="9"/>
        <rFont val="Times New Roman"/>
        <family val="1"/>
      </rPr>
      <t>6</t>
    </r>
  </si>
  <si>
    <t>Unspecified mix of HFCs and PFCs</t>
  </si>
  <si>
    <r>
      <t>NF</t>
    </r>
    <r>
      <rPr>
        <b/>
        <vertAlign val="subscript"/>
        <sz val="9"/>
        <rFont val="Times New Roman"/>
        <family val="1"/>
      </rPr>
      <t>3</t>
    </r>
  </si>
  <si>
    <t xml:space="preserve">Total </t>
  </si>
  <si>
    <t>SINK CATEGORIES</t>
  </si>
  <si>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</si>
  <si>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</si>
  <si>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t>1. Energy</t>
  </si>
  <si>
    <t>A. Fuel combustion (sectoral approach)</t>
  </si>
  <si>
    <t>1.  Energy industries</t>
  </si>
  <si>
    <t>2.  Manufacturing industries and construction</t>
  </si>
  <si>
    <t>3.  Transport</t>
  </si>
  <si>
    <t>4.  Other sectors</t>
  </si>
  <si>
    <t>5.  Other</t>
  </si>
  <si>
    <t>B. Fugitive emissions from fuels</t>
  </si>
  <si>
    <t>1.  Solid fuels</t>
  </si>
  <si>
    <t>2.  Oil and natural gas</t>
  </si>
  <si>
    <r>
      <t>C. CO</t>
    </r>
    <r>
      <rPr>
        <vertAlign val="subscript"/>
        <sz val="9"/>
        <rFont val="Times New Roman"/>
        <family val="1"/>
      </rPr>
      <t>2</t>
    </r>
    <r>
      <rPr>
        <sz val="9"/>
        <rFont val="Times New Roman"/>
        <family val="1"/>
      </rPr>
      <t xml:space="preserve"> transport and storage</t>
    </r>
  </si>
  <si>
    <t>NO,IE</t>
  </si>
  <si>
    <t>2.  Industrial processes and product use</t>
  </si>
  <si>
    <t>A.  Mineral industry</t>
  </si>
  <si>
    <t>B.  Chemical industry</t>
  </si>
  <si>
    <t>C.  Metal industry</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</si>
  <si>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</si>
  <si>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</si>
  <si>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</si>
  <si>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r>
      <t xml:space="preserve">G.  Other product manufacture and use </t>
    </r>
    <r>
      <rPr>
        <sz val="11"/>
        <color theme="1"/>
        <rFont val="Calibri"/>
        <family val="2"/>
        <scheme val="minor"/>
      </rPr>
      <t/>
    </r>
  </si>
  <si>
    <t xml:space="preserve">H.  Other </t>
  </si>
  <si>
    <t>3.  Agriculture</t>
  </si>
  <si>
    <t>A.  Enteric fermentation</t>
  </si>
  <si>
    <t>B.  Manure management</t>
  </si>
  <si>
    <t>C.  Rice cultivation</t>
  </si>
  <si>
    <r>
      <t>D.  Agricultural soils</t>
    </r>
    <r>
      <rPr>
        <vertAlign val="superscript"/>
        <sz val="9"/>
        <color indexed="8"/>
        <rFont val="Times New Roman"/>
        <family val="1"/>
      </rPr>
      <t/>
    </r>
  </si>
  <si>
    <t>IE,NE,NO</t>
  </si>
  <si>
    <t>E.  Prescribed burning of savannas</t>
  </si>
  <si>
    <t>F.  Field burning of agricultural residues</t>
  </si>
  <si>
    <t>G. Liming</t>
  </si>
  <si>
    <t>H. Urea application</t>
  </si>
  <si>
    <t>I.  Other carbon-containing fertilizers</t>
  </si>
  <si>
    <t xml:space="preserve">J.  Other </t>
  </si>
  <si>
    <r>
      <t>4. Land use, land-use change and forestry</t>
    </r>
    <r>
      <rPr>
        <b/>
        <vertAlign val="superscript"/>
        <sz val="9"/>
        <rFont val="Times New Roman"/>
        <family val="1"/>
      </rPr>
      <t>(1)</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</si>
  <si>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</si>
  <si>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</si>
  <si>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</si>
  <si>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</si>
  <si>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</si>
  <si>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</si>
  <si>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</si>
  <si>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</si>
  <si>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t>5.  Waste</t>
  </si>
  <si>
    <r>
      <t>A.  Solid waste disposal</t>
    </r>
    <r>
      <rPr>
        <b/>
        <sz val="9"/>
        <rFont val="Times New Roman"/>
        <family val="1"/>
      </rPr>
      <t xml:space="preserve"> </t>
    </r>
  </si>
  <si>
    <t>NO,NE</t>
  </si>
  <si>
    <t>B.  Biological treatment of solid waste</t>
  </si>
  <si>
    <t>C.  Incineration and open burning of waste</t>
  </si>
  <si>
    <t>D.  Waste water treatment and discharge</t>
  </si>
  <si>
    <r>
      <t>E.  Other</t>
    </r>
    <r>
      <rPr>
        <b/>
        <i/>
        <sz val="9"/>
        <rFont val="Times New Roman"/>
        <family val="1"/>
      </rPr>
      <t xml:space="preserve"> </t>
    </r>
  </si>
  <si>
    <r>
      <t xml:space="preserve">6.  Other </t>
    </r>
    <r>
      <rPr>
        <b/>
        <i/>
        <sz val="9"/>
        <rFont val="Times New Roman"/>
        <family val="1"/>
      </rPr>
      <t>(as specified in summary 1.A)</t>
    </r>
  </si>
  <si>
    <r>
      <t>Memo items:</t>
    </r>
    <r>
      <rPr>
        <b/>
        <vertAlign val="superscript"/>
        <sz val="9"/>
        <rFont val="Times New Roman"/>
        <family val="1"/>
      </rPr>
      <t>(2)</t>
    </r>
  </si>
  <si>
    <t>International bunkers</t>
  </si>
  <si>
    <t>Navigation</t>
  </si>
  <si>
    <t>Multilateral operations</t>
  </si>
  <si>
    <r>
      <t>CO</t>
    </r>
    <r>
      <rPr>
        <b/>
        <vertAlign val="subscript"/>
        <sz val="9"/>
        <rFont val="Times New Roman"/>
        <family val="1"/>
      </rPr>
      <t>2</t>
    </r>
    <r>
      <rPr>
        <b/>
        <sz val="9"/>
        <rFont val="Times New Roman"/>
        <family val="1"/>
      </rPr>
      <t xml:space="preserve"> emissions from biomass</t>
    </r>
  </si>
  <si>
    <r>
      <t>CO</t>
    </r>
    <r>
      <rPr>
        <b/>
        <vertAlign val="subscript"/>
        <sz val="9"/>
        <rFont val="Times New Roman"/>
        <family val="1"/>
      </rPr>
      <t>2</t>
    </r>
    <r>
      <rPr>
        <b/>
        <sz val="9"/>
        <rFont val="Times New Roman"/>
        <family val="1"/>
      </rPr>
      <t xml:space="preserve"> captured</t>
    </r>
  </si>
  <si>
    <t>Long-term storage of C in waste disposal sites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</si>
  <si>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</si>
  <si>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</si>
  <si>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</si>
  <si>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</si>
  <si>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</si>
  <si>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</si>
  <si>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</si>
  <si>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</si>
  <si>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</si>
  <si>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t>Run HRE31</t>
  </si>
  <si>
    <t xml:space="preserve">http://eur-lex.europa.eu/legal-content/EN/TXT/PDF/?uri=CELEX:52016SC0247&amp;from=NL </t>
  </si>
  <si>
    <t>EU28</t>
  </si>
  <si>
    <t>Grand Total</t>
  </si>
  <si>
    <t>ugeo:text</t>
  </si>
  <si>
    <t>year:text</t>
  </si>
  <si>
    <t>value:number</t>
  </si>
  <si>
    <t>2020 ESD target</t>
  </si>
  <si>
    <t>2014 ESD target</t>
  </si>
  <si>
    <t>2014 ESD emissions</t>
  </si>
  <si>
    <t xml:space="preserve">https://www.eea.europa.eu/data-and-maps/daviz/ghg-distance-of-non-ETS-3#tab-googlechartid_chart_11 </t>
  </si>
  <si>
    <t>–16%</t>
  </si>
  <si>
    <t>–15%</t>
  </si>
  <si>
    <t>–5%</t>
  </si>
  <si>
    <t>–20%</t>
  </si>
  <si>
    <t>–14%</t>
  </si>
  <si>
    <t>–4%</t>
  </si>
  <si>
    <t>–13%</t>
  </si>
  <si>
    <t>–10%</t>
  </si>
  <si>
    <t>–17%</t>
  </si>
  <si>
    <t>ERS = total emissions - verfified ETS - CO2 from domestic aviation - NF3</t>
  </si>
  <si>
    <t xml:space="preserve">The ESD emissions are calculated by deducting ETS verified emissions, CO2 emissions from domestic aviation and NF3 emissions from the total GHG emissions. </t>
  </si>
  <si>
    <r>
      <t>Total emissions are national totals reported under the UNFCCC (</t>
    </r>
    <r>
      <rPr>
        <sz val="11"/>
        <color indexed="10"/>
        <rFont val="Calibri"/>
        <family val="2"/>
      </rPr>
      <t>excluding LULUCF, international aviation and international maritime transport</t>
    </r>
    <r>
      <rPr>
        <sz val="11"/>
        <color theme="1"/>
        <rFont val="Calibri"/>
        <family val="2"/>
        <scheme val="minor"/>
      </rPr>
      <t>).</t>
    </r>
  </si>
  <si>
    <t>PublicationDate</t>
  </si>
  <si>
    <t>DataSource</t>
  </si>
  <si>
    <t>Country_code</t>
  </si>
  <si>
    <t>Format_name</t>
  </si>
  <si>
    <t>Pollutant_name</t>
  </si>
  <si>
    <t>Sector_name</t>
  </si>
  <si>
    <t>Parent_sector_code</t>
  </si>
  <si>
    <t>Sector_code</t>
  </si>
  <si>
    <t>Notation</t>
  </si>
  <si>
    <t>Unit</t>
  </si>
  <si>
    <t>emissions</t>
  </si>
  <si>
    <t>20170601</t>
  </si>
  <si>
    <t>EEA</t>
  </si>
  <si>
    <t>IPCC Common Reporting Format</t>
  </si>
  <si>
    <t>CH4</t>
  </si>
  <si>
    <t>3 - Agriculture</t>
  </si>
  <si>
    <t>Sectors/Totals_incl_incl</t>
  </si>
  <si>
    <t>3</t>
  </si>
  <si>
    <t>Gg</t>
  </si>
  <si>
    <t>N2O</t>
  </si>
  <si>
    <t>5 - Waste management</t>
  </si>
  <si>
    <t>5</t>
  </si>
  <si>
    <t>EUA</t>
  </si>
  <si>
    <t>EU28 (Convention)</t>
  </si>
  <si>
    <t>EUC</t>
  </si>
  <si>
    <t>EU (KP)</t>
  </si>
  <si>
    <t>GR</t>
  </si>
  <si>
    <t>LI</t>
  </si>
  <si>
    <t>TR</t>
  </si>
  <si>
    <t>United Kingdom (Convention)</t>
  </si>
  <si>
    <t>CO2Eq</t>
  </si>
  <si>
    <t>Sum of CO2Eq</t>
  </si>
  <si>
    <t>3 - Agriculture Total</t>
  </si>
  <si>
    <t>5 - Waste management Total</t>
  </si>
  <si>
    <t>CO2</t>
  </si>
  <si>
    <t>Table Name: T_270717_163622</t>
  </si>
  <si>
    <t>TOTCO2</t>
  </si>
  <si>
    <t>ESD ALL GHG</t>
  </si>
  <si>
    <t>EUROSTAT</t>
  </si>
  <si>
    <t>UNFCCC</t>
  </si>
  <si>
    <t>CALCUL</t>
  </si>
  <si>
    <t>JRC-EU-TIMES</t>
  </si>
  <si>
    <t>ETS CO2</t>
  </si>
  <si>
    <t>(since 2012 aviation included but we ignore it here)</t>
  </si>
  <si>
    <t>ETS CO2 Verified</t>
  </si>
  <si>
    <t>C</t>
  </si>
  <si>
    <t>Difference ESD</t>
  </si>
  <si>
    <t>Difference ETS</t>
  </si>
  <si>
    <t>Difference ESD percentage</t>
  </si>
  <si>
    <t>ERS CO2 = ERS - CH4 - HFCs - PFCs - SF6 - N2O (not from production of nitric, adipic and glyox acids and glyoxal)</t>
  </si>
  <si>
    <t>The target is on the total ERS so from the 2030 ERS target, we also deduct the estimation of non-CO2 in 2030</t>
  </si>
  <si>
    <t>Total (with LULUCF, with indirect CO2)</t>
  </si>
  <si>
    <t>All greenhouse gases - (CO2 equivalent)</t>
  </si>
  <si>
    <t>Gg CO2 equivalent</t>
  </si>
  <si>
    <t>NF3 - (CO2 equivalent)</t>
  </si>
  <si>
    <t>PFCs - (CO2 equivalent)</t>
  </si>
  <si>
    <t>SF6 - (CO2 equivalent)</t>
  </si>
  <si>
    <t>HFCs - (CO2 equivalent)</t>
  </si>
  <si>
    <t>Unspecified mix of HFCs and PFCs - (CO2 equivalent)</t>
  </si>
  <si>
    <t>CO2 eq</t>
  </si>
  <si>
    <t>Check</t>
  </si>
  <si>
    <t>Indeed sum of the rest</t>
  </si>
  <si>
    <t>Sum of emissions2</t>
  </si>
  <si>
    <t xml:space="preserve">https://www.eea.europa.eu/data-and-maps/data/national-emissions-reported-to-the-unfccc-and-to-the-eu-greenhouse-gas-monitoring-mechanism-13 </t>
  </si>
  <si>
    <t>Domestic aviation</t>
  </si>
  <si>
    <t>International navigation (bunkers)</t>
  </si>
  <si>
    <t>Domestic navigation</t>
  </si>
  <si>
    <t>(N2O) from production of nitric, adipic and glyoxylic acids and glyoxal</t>
  </si>
  <si>
    <t>perfluorocarbons (PFCs) from aluminium production</t>
  </si>
  <si>
    <t>International aviation</t>
  </si>
  <si>
    <t>Covered under</t>
  </si>
  <si>
    <t>ERS</t>
  </si>
  <si>
    <t>other N2O</t>
  </si>
  <si>
    <t>HFCs</t>
  </si>
  <si>
    <t>SF6</t>
  </si>
  <si>
    <t>LULUCF</t>
  </si>
  <si>
    <t>not in ERS but as flexibility</t>
  </si>
  <si>
    <t>Non energy</t>
  </si>
  <si>
    <t>Domestic aviation is under ETS but maybe not in the verified emissions.</t>
  </si>
  <si>
    <t>This is CO2 process emissions , part of category "2 - Industrial Processes and Product Use" within UNFCCC</t>
  </si>
  <si>
    <t>It is strange that international shipping (bunkers) is not a separate category because at that moment (2015) these were not part of ETS nor ESR</t>
  </si>
  <si>
    <t>Average 2016-2019</t>
  </si>
  <si>
    <t>2020 emission</t>
  </si>
  <si>
    <t>2030 target</t>
  </si>
  <si>
    <t>Average 2016-2018</t>
  </si>
  <si>
    <t>Alternative 2020</t>
  </si>
  <si>
    <t>ESR period</t>
  </si>
  <si>
    <t>(Eurostat)</t>
  </si>
  <si>
    <t>S1 Average 2016-2018</t>
  </si>
  <si>
    <t>S2 Alternative 2020</t>
  </si>
  <si>
    <t>REF2016</t>
  </si>
  <si>
    <t>EUCO30</t>
  </si>
  <si>
    <t>Compared with REF2016</t>
  </si>
  <si>
    <t>Numbers in Impact Assessment</t>
  </si>
  <si>
    <t>Compared with S2</t>
  </si>
  <si>
    <t>In the EU Reference scenario 2016, reflecting current trends and implementation of adopted policies, emissions covered by the ESD are projected to decrease by around 16% in 2020 and 24% in 2030 compared to 2005</t>
  </si>
  <si>
    <t>EU28:Reference scenario</t>
  </si>
  <si>
    <t>Non CO2 total</t>
  </si>
  <si>
    <t>see graph</t>
  </si>
  <si>
    <t>Non CO2 ETS (N2O nitric acid production and PCF aluminium)</t>
  </si>
  <si>
    <t>ESR total</t>
  </si>
  <si>
    <t>Calculation</t>
  </si>
  <si>
    <t>ESR Non CO2</t>
  </si>
  <si>
    <t>ESR CO2</t>
  </si>
  <si>
    <t>This is possible given the graph below which covers both ETS and non-ETS amounting to some 940 Mt</t>
  </si>
  <si>
    <t>EP amendment ESR TOTAL</t>
  </si>
  <si>
    <t>ESR non CO2</t>
  </si>
  <si>
    <t>EP amendment ESR CO2</t>
  </si>
  <si>
    <t>1.D.1.b - International Navigation</t>
  </si>
  <si>
    <t>1.D.1</t>
  </si>
  <si>
    <t>1.D.1.b</t>
  </si>
  <si>
    <t>1.A.3.d - Domestic Navigation</t>
  </si>
  <si>
    <t>1.A.3</t>
  </si>
  <si>
    <t>1.A.3.d</t>
  </si>
  <si>
    <t>Nowhere it seems</t>
  </si>
  <si>
    <t>Most of it nowehere, part of it is in ETS (EU flights I think)</t>
  </si>
  <si>
    <t>2.B.2 - Nitric Acid Production</t>
  </si>
  <si>
    <t>2.B</t>
  </si>
  <si>
    <t>2.B.2</t>
  </si>
  <si>
    <t>2.C.3 - Aluminium Production</t>
  </si>
  <si>
    <t>2.C</t>
  </si>
  <si>
    <t>2.C.3</t>
  </si>
  <si>
    <t>emissions CO2 eq</t>
  </si>
  <si>
    <t>Sum of emissions CO2 eq</t>
  </si>
  <si>
    <t>- 4(IV)  Indirect N2O Emissions from Managed Soils</t>
  </si>
  <si>
    <t>4</t>
  </si>
  <si>
    <t>-</t>
  </si>
  <si>
    <t>1 - Energy</t>
  </si>
  <si>
    <t>1</t>
  </si>
  <si>
    <t>1.A.1 - Energy Industries</t>
  </si>
  <si>
    <t>1.AA</t>
  </si>
  <si>
    <t>1.A.1</t>
  </si>
  <si>
    <t>1.A.1.a - Public Electricity and Heat Production</t>
  </si>
  <si>
    <t>1.A.1.a</t>
  </si>
  <si>
    <t>1.A.1.b - Petroleum Refining</t>
  </si>
  <si>
    <t>1.A.1.b</t>
  </si>
  <si>
    <t>1.A.1.c - Manufacture of Solid Fuels and Other Energy Industries</t>
  </si>
  <si>
    <t>1.A.1.c</t>
  </si>
  <si>
    <t>1.A.2 - Manufacturing Industries and Construction</t>
  </si>
  <si>
    <t>1.A.2</t>
  </si>
  <si>
    <t>1.A.2.a - Iron and Steel</t>
  </si>
  <si>
    <t>1.A.2.a</t>
  </si>
  <si>
    <t>1.A.2.b - Non-Ferrous Metals</t>
  </si>
  <si>
    <t>1.A.2.b</t>
  </si>
  <si>
    <t>1.A.2.c - Chemicals</t>
  </si>
  <si>
    <t>1.A.2.c</t>
  </si>
  <si>
    <t>1.A.2.d - Pulp, Paper and Print</t>
  </si>
  <si>
    <t>1.A.2.d</t>
  </si>
  <si>
    <t>1.A.2.e - Food Processing, Beverages and Tobacco</t>
  </si>
  <si>
    <t>1.A.2.e</t>
  </si>
  <si>
    <t>1.A.2.f - Non-metallic minerals</t>
  </si>
  <si>
    <t>1.A.2.f</t>
  </si>
  <si>
    <t>1.A.2.g - Other Manufacturing Industries and Constructions</t>
  </si>
  <si>
    <t>1.A.2.g</t>
  </si>
  <si>
    <t>1.A.3 - Transport</t>
  </si>
  <si>
    <t>1.A.3.a - Domestic Aviation</t>
  </si>
  <si>
    <t>1.A.3.a</t>
  </si>
  <si>
    <t>1.A.3.b - Road Transportation</t>
  </si>
  <si>
    <t>1.A.3.b</t>
  </si>
  <si>
    <t>1.A.3.b.i - Cars</t>
  </si>
  <si>
    <t>1.A.3.b.i</t>
  </si>
  <si>
    <t>1.A.3.b.ii - Light duty trucks</t>
  </si>
  <si>
    <t>1.A.3.b.ii</t>
  </si>
  <si>
    <t>1.A.3.b.iii - Heavy duty trucks and buses</t>
  </si>
  <si>
    <t>1.A.3.b.iii</t>
  </si>
  <si>
    <t>1.A.3.b.iv - Motorcycles</t>
  </si>
  <si>
    <t>1.A.3.b.iv</t>
  </si>
  <si>
    <t>1.A.3.b.v - Other Road Transportation</t>
  </si>
  <si>
    <t>1.A.3.b.v</t>
  </si>
  <si>
    <t>1.A.3.c - Railways</t>
  </si>
  <si>
    <t>1.A.3.c</t>
  </si>
  <si>
    <t>1.A.3.e - Other Transportation</t>
  </si>
  <si>
    <t>1.A.3.e</t>
  </si>
  <si>
    <t>1.A.4 - Other Sectors</t>
  </si>
  <si>
    <t>1.A.4</t>
  </si>
  <si>
    <t>1.A.4.a - Commercial/Institutional</t>
  </si>
  <si>
    <t>1.A.4.a</t>
  </si>
  <si>
    <t>1.A.4.b - Residential</t>
  </si>
  <si>
    <t>1.A.4.b</t>
  </si>
  <si>
    <t>1.A.4.c - Agriculture/Forestry/Fishing</t>
  </si>
  <si>
    <t>1.A.4.c</t>
  </si>
  <si>
    <t>1.A.5 - Other Other Sectors</t>
  </si>
  <si>
    <t>1.A.5</t>
  </si>
  <si>
    <t>1.A.5.a - Stationary</t>
  </si>
  <si>
    <t>1.A.5.a</t>
  </si>
  <si>
    <t>1.A.5.b - Mobile</t>
  </si>
  <si>
    <t>1.A.5.b</t>
  </si>
  <si>
    <t>1.AA - Fuel Combustion - Sectoral approach</t>
  </si>
  <si>
    <t>1.B - Fugitive Emissions from Fuels</t>
  </si>
  <si>
    <t>1.B</t>
  </si>
  <si>
    <t>1.B.1 - Solid Fuels</t>
  </si>
  <si>
    <t>1.B.1</t>
  </si>
  <si>
    <t>1.B.2 - Oil and Natural Gas and Other Emissions from Energy Production</t>
  </si>
  <si>
    <t>1.B.2</t>
  </si>
  <si>
    <t>1.C - CO2 Transport and Storage</t>
  </si>
  <si>
    <t>1.C</t>
  </si>
  <si>
    <t>—</t>
  </si>
  <si>
    <t>1.D.1 - International Bunkers</t>
  </si>
  <si>
    <t>1.D</t>
  </si>
  <si>
    <t>1.D.1.a - International Aviation</t>
  </si>
  <si>
    <t>1.D.1.a</t>
  </si>
  <si>
    <t>1.D.2 - Multilateral Operations</t>
  </si>
  <si>
    <t>1.D.2</t>
  </si>
  <si>
    <t>1.D.3 - CO2 emissions from biomass</t>
  </si>
  <si>
    <t>1.D.3</t>
  </si>
  <si>
    <t>2 - Industrial Processes and Product Use</t>
  </si>
  <si>
    <t>2</t>
  </si>
  <si>
    <t>2.A - Mineral Industry</t>
  </si>
  <si>
    <t>2.A</t>
  </si>
  <si>
    <t>2.A.1 - Cement Production</t>
  </si>
  <si>
    <t>2.A.1</t>
  </si>
  <si>
    <t>2.A.2 - Lime Production</t>
  </si>
  <si>
    <t>2.A.2</t>
  </si>
  <si>
    <t>2.A.3 - Glass production</t>
  </si>
  <si>
    <t>2.A.3</t>
  </si>
  <si>
    <t>2.A.4 - Other Process Uses of Carbonates</t>
  </si>
  <si>
    <t>2.A.4</t>
  </si>
  <si>
    <t>2.B - Chemical Industry</t>
  </si>
  <si>
    <t>2.B.1 - Ammonia Production</t>
  </si>
  <si>
    <t>2.B.1</t>
  </si>
  <si>
    <t>2.B.10 - Other chemical industry</t>
  </si>
  <si>
    <t>2.B.10</t>
  </si>
  <si>
    <t>2.B.3 - Adipic Acid Production</t>
  </si>
  <si>
    <t>2.B.3</t>
  </si>
  <si>
    <t>2.B.4 - Caprolactam, Glyoxal and Glyoxylic Acid Production</t>
  </si>
  <si>
    <t>2.B.4</t>
  </si>
  <si>
    <t>2.B.5 - Carbide Production</t>
  </si>
  <si>
    <t>2.B.5</t>
  </si>
  <si>
    <t>2.B.6 - Titanium Dioxide Production</t>
  </si>
  <si>
    <t>2.B.6</t>
  </si>
  <si>
    <t>2.B.7 - Soda Ash Production</t>
  </si>
  <si>
    <t>2.B.7</t>
  </si>
  <si>
    <t>2.B.8 - Petrochemical and Carbon Black Production</t>
  </si>
  <si>
    <t>2.B.8</t>
  </si>
  <si>
    <t>2.B.9 - Fluorochemical Production</t>
  </si>
  <si>
    <t>2.B.9</t>
  </si>
  <si>
    <t>2.C - Metal Industry</t>
  </si>
  <si>
    <t>2.C.1 - Iron and Steel Production</t>
  </si>
  <si>
    <t>2.C.1</t>
  </si>
  <si>
    <t>2.C.2 - Ferroalloys Production</t>
  </si>
  <si>
    <t>2.C.2</t>
  </si>
  <si>
    <t>2.C.4 - Magnesium Production</t>
  </si>
  <si>
    <t>2.C.4</t>
  </si>
  <si>
    <t>2.C.5 - Lead Production</t>
  </si>
  <si>
    <t>2.C.5</t>
  </si>
  <si>
    <t>2.C.6 - Zinc Production</t>
  </si>
  <si>
    <t>2.C.6</t>
  </si>
  <si>
    <t>2.C.7 - Other Metal Industry</t>
  </si>
  <si>
    <t>2.C.7</t>
  </si>
  <si>
    <t>2.D - Non-energy Products from Fuels and Solvent Use</t>
  </si>
  <si>
    <t>2.D</t>
  </si>
  <si>
    <t>2.D.1 - Lubricant Use</t>
  </si>
  <si>
    <t>2.D.1</t>
  </si>
  <si>
    <t>2.D.2 - Paraffin Wax Use</t>
  </si>
  <si>
    <t>2.D.2</t>
  </si>
  <si>
    <t>2.D.3 - Other non energy products</t>
  </si>
  <si>
    <t>2.D.3</t>
  </si>
  <si>
    <t>2.E - Electronics Industry</t>
  </si>
  <si>
    <t>2.E</t>
  </si>
  <si>
    <t>2.E.1 - Integrated Circuit or Semiconductor</t>
  </si>
  <si>
    <t>2.E.1</t>
  </si>
  <si>
    <t>2.E.3 - Photovoltaics</t>
  </si>
  <si>
    <t>2.E.3</t>
  </si>
  <si>
    <t>2.E.4 - Heat Transfer Fluid</t>
  </si>
  <si>
    <t>2.E.4</t>
  </si>
  <si>
    <t>2.E.5 - Other electronics industry</t>
  </si>
  <si>
    <t>2.E.5</t>
  </si>
  <si>
    <t>2.F - Product Uses as Substitutes for ODS</t>
  </si>
  <si>
    <t>2.F</t>
  </si>
  <si>
    <t>2.F.1 - Refrigeration and Air conditioning</t>
  </si>
  <si>
    <t>2.F.1</t>
  </si>
  <si>
    <t>2.F.2 - Foam Blowing Agents</t>
  </si>
  <si>
    <t>2.F.2</t>
  </si>
  <si>
    <t>2.F.3 - Fire Protection</t>
  </si>
  <si>
    <t>2.F.3</t>
  </si>
  <si>
    <t>2.F.4 - Aerosols</t>
  </si>
  <si>
    <t>2.F.4</t>
  </si>
  <si>
    <t>2.F.5 - Solvents</t>
  </si>
  <si>
    <t>2.F.5</t>
  </si>
  <si>
    <t>2.F.6 - Other Applications</t>
  </si>
  <si>
    <t>2.F.6</t>
  </si>
  <si>
    <t>2.G - Other Product Manufacture and Use</t>
  </si>
  <si>
    <t>2.G</t>
  </si>
  <si>
    <t>2.H - Other Industrial Process and Product Use</t>
  </si>
  <si>
    <t>2.H</t>
  </si>
  <si>
    <t>3.1 - Livestock</t>
  </si>
  <si>
    <t>3.1</t>
  </si>
  <si>
    <t>3.A - Enteric Fermentation</t>
  </si>
  <si>
    <t>3.A</t>
  </si>
  <si>
    <t>3.A.1 - Enteric Fermentation - Cattle</t>
  </si>
  <si>
    <t>3.A.1</t>
  </si>
  <si>
    <t>3.A.2 - Enteric Fermentation - Sheep</t>
  </si>
  <si>
    <t>3.A.2</t>
  </si>
  <si>
    <t>3.A.3 - Enteric Fermentation - Swine</t>
  </si>
  <si>
    <t>3.A.3</t>
  </si>
  <si>
    <t>3.A.4 - Enteric Fermentation - Other livestock</t>
  </si>
  <si>
    <t>3.A.4</t>
  </si>
  <si>
    <t>3.B - Manure Management</t>
  </si>
  <si>
    <t>3.B</t>
  </si>
  <si>
    <t>3.B.1 - Manure Management - Cattle</t>
  </si>
  <si>
    <t>3.B.1</t>
  </si>
  <si>
    <t>3.B.2 - Manure Management - Sheep</t>
  </si>
  <si>
    <t>3.B.2</t>
  </si>
  <si>
    <t>3.B.3 - Manure Management - Swine</t>
  </si>
  <si>
    <t>3.B.3</t>
  </si>
  <si>
    <t>3.B.4 - Manure Management - Other livestock</t>
  </si>
  <si>
    <t>3.B.4</t>
  </si>
  <si>
    <t>3.B.5 - Manure Management - Indirect N2O Emissions</t>
  </si>
  <si>
    <t>3.B.5</t>
  </si>
  <si>
    <t>3.C - Rice Cultivation</t>
  </si>
  <si>
    <t>3.C</t>
  </si>
  <si>
    <t>3.C.1 - Irrigated</t>
  </si>
  <si>
    <t>3.C.1</t>
  </si>
  <si>
    <t>3.C.2 - Rainfed</t>
  </si>
  <si>
    <t>3.C.2</t>
  </si>
  <si>
    <t>3.C.3 - Deep Water</t>
  </si>
  <si>
    <t>3.C.3</t>
  </si>
  <si>
    <t>3.C.4 - Other Rice Cultivation</t>
  </si>
  <si>
    <t>3.C.4</t>
  </si>
  <si>
    <t>3.D - Agricultural Soils</t>
  </si>
  <si>
    <t>3.D</t>
  </si>
  <si>
    <t>3.D.1 - Direct N2O emissions from managed soils</t>
  </si>
  <si>
    <t>3.D.1</t>
  </si>
  <si>
    <t>3.D.2 - Indirect N2O emissions from managed soils</t>
  </si>
  <si>
    <t>3.D.2</t>
  </si>
  <si>
    <t>3.E - Prescribed Burning of Savannas</t>
  </si>
  <si>
    <t>3.E</t>
  </si>
  <si>
    <t>3.F - Field Burning of Agricultural Residues</t>
  </si>
  <si>
    <t>3.F</t>
  </si>
  <si>
    <t>3.F.1 - Cereals</t>
  </si>
  <si>
    <t>3.F.1</t>
  </si>
  <si>
    <t>3.F.2 - Pulses</t>
  </si>
  <si>
    <t>3.F.2</t>
  </si>
  <si>
    <t>3.F.3 - Tubers and roots</t>
  </si>
  <si>
    <t>3.F.3</t>
  </si>
  <si>
    <t>3.F.4 - Sugar cane</t>
  </si>
  <si>
    <t>3.F.4</t>
  </si>
  <si>
    <t>3.F.5 - Other Agricultural residues</t>
  </si>
  <si>
    <t>3.F.5</t>
  </si>
  <si>
    <t>3.G - Liming</t>
  </si>
  <si>
    <t>3.G</t>
  </si>
  <si>
    <t>3.H - Urea Application</t>
  </si>
  <si>
    <t>3.H</t>
  </si>
  <si>
    <t>3.I - Other Carbon-containing Fertilizers</t>
  </si>
  <si>
    <t>3.I</t>
  </si>
  <si>
    <t>3.J - Other agriculture emissions</t>
  </si>
  <si>
    <t>3.J</t>
  </si>
  <si>
    <t>4 - Land Use, Land-Use Change and Forestry</t>
  </si>
  <si>
    <t>4.A - Forest Land</t>
  </si>
  <si>
    <t>4.A</t>
  </si>
  <si>
    <t>4.A Emissions/Removal 4(II)  Emissions and removals from drainage and rewetting and other management of organic and mineral soils</t>
  </si>
  <si>
    <t>4.A Emissions/Removal</t>
  </si>
  <si>
    <t>4.A.1 - Forest Land remaining forest land</t>
  </si>
  <si>
    <t>4.A.1</t>
  </si>
  <si>
    <t>4.A.2 - Land converted to forest land</t>
  </si>
  <si>
    <t>4.A.2</t>
  </si>
  <si>
    <t>4.B - Cropland</t>
  </si>
  <si>
    <t>4.B</t>
  </si>
  <si>
    <t>4.B Emissions/Removal 4(II)  Emissions and removals from drainage and rewetting and other management of organic and mineral soils</t>
  </si>
  <si>
    <t>4.B Emissions/Removal</t>
  </si>
  <si>
    <t>4.B.1 - Cropland remaining cropland</t>
  </si>
  <si>
    <t>4.B.1</t>
  </si>
  <si>
    <t>4.B.2 - Land converted to cropland</t>
  </si>
  <si>
    <t>4.B.2</t>
  </si>
  <si>
    <t>4.C - Grassland</t>
  </si>
  <si>
    <t>4.C</t>
  </si>
  <si>
    <t>4.C Emissions/Removal 4(II)  Emissions and removals from drainage and rewetting and other management of organic and mineral soils</t>
  </si>
  <si>
    <t>4.C Emissions/Removal</t>
  </si>
  <si>
    <t>4.C.1 - Grassland remaining grassland</t>
  </si>
  <si>
    <t>4.C.1</t>
  </si>
  <si>
    <t>4.C.2 - Land converted to grassland</t>
  </si>
  <si>
    <t>4.C.2</t>
  </si>
  <si>
    <t>4.D - Wetlands</t>
  </si>
  <si>
    <t>4.D</t>
  </si>
  <si>
    <t>4.D Emissions/Removal 4(II)  Emissions and removals from drainage and rewetting and other management of organic and mineral soils</t>
  </si>
  <si>
    <t>4.D Emissions/Removal</t>
  </si>
  <si>
    <t>4.D.1 - Wetlands remaining wetlands</t>
  </si>
  <si>
    <t>4.D.1</t>
  </si>
  <si>
    <t>4.D.2 - Land converted to wetlands</t>
  </si>
  <si>
    <t>4.D.2</t>
  </si>
  <si>
    <t>4.E - Settlements</t>
  </si>
  <si>
    <t>4.E</t>
  </si>
  <si>
    <t>4.E Biomass Burning 4(V) Biomass Burning</t>
  </si>
  <si>
    <t>4.E Biomass Burning</t>
  </si>
  <si>
    <t>4.E.1 - Settlements remaining settlements</t>
  </si>
  <si>
    <t>4.E.1</t>
  </si>
  <si>
    <t>4.E.2 - Land converted to settlements</t>
  </si>
  <si>
    <t>4.E.2</t>
  </si>
  <si>
    <t>4.F - Other Land</t>
  </si>
  <si>
    <t>4.F</t>
  </si>
  <si>
    <t>4.F.2 - Land converted to other land</t>
  </si>
  <si>
    <t>4.F.2</t>
  </si>
  <si>
    <t>4.F.3 4(III)  Direct N2O Emissions from N Mineralization/Immobilization</t>
  </si>
  <si>
    <t>4.F.3</t>
  </si>
  <si>
    <t>4.F.4 4(V)  Biomass Burning</t>
  </si>
  <si>
    <t>4.F.4</t>
  </si>
  <si>
    <t>4.G - Harvested Wood Products</t>
  </si>
  <si>
    <t>4.G</t>
  </si>
  <si>
    <t>4.H - Other LULUCF</t>
  </si>
  <si>
    <t>4.H</t>
  </si>
  <si>
    <t>5.A - Solid Waste Disposal</t>
  </si>
  <si>
    <t>5.A</t>
  </si>
  <si>
    <t>5.A.1 - Managed Waste Disposal Sites</t>
  </si>
  <si>
    <t>5.A.1</t>
  </si>
  <si>
    <t>5.A.2 - Unmanaged Waste Disposal Sites</t>
  </si>
  <si>
    <t>5.A.2</t>
  </si>
  <si>
    <t>5.A.3 - Uncategorized Waste Disposal Sites</t>
  </si>
  <si>
    <t>5.A.3</t>
  </si>
  <si>
    <t>5.B - Biological Treatment of Solid Waste</t>
  </si>
  <si>
    <t>5.B</t>
  </si>
  <si>
    <t>5.B.1 - Waste Composting</t>
  </si>
  <si>
    <t>5.B.1</t>
  </si>
  <si>
    <t>5.B.2 - Anaerobic Digestion at Biogas Facilities</t>
  </si>
  <si>
    <t>5.B.2</t>
  </si>
  <si>
    <t>5.C - Incineration and Open Burning of Waste</t>
  </si>
  <si>
    <t>5.C</t>
  </si>
  <si>
    <t>5.C.1 - Waste Incineration</t>
  </si>
  <si>
    <t>5.C.1</t>
  </si>
  <si>
    <t>5.C.2 - Open Burning of Waste</t>
  </si>
  <si>
    <t>5.C.2</t>
  </si>
  <si>
    <t>5.D - Wastewater Treatment and Discharge</t>
  </si>
  <si>
    <t>5.D</t>
  </si>
  <si>
    <t>5.D.1 - Domestic wastewater</t>
  </si>
  <si>
    <t>5.D.1</t>
  </si>
  <si>
    <t>5.D.2 - Industrial wastewater</t>
  </si>
  <si>
    <t>5.D.2</t>
  </si>
  <si>
    <t>5.D.3 - Other Wastewater</t>
  </si>
  <si>
    <t>5.D.3</t>
  </si>
  <si>
    <t>5.E - Other Disposal</t>
  </si>
  <si>
    <t>5.E</t>
  </si>
  <si>
    <t>5.F.1 - Long-term Storage of C in Waste Disposal Sites</t>
  </si>
  <si>
    <t>5.F</t>
  </si>
  <si>
    <t>5.F.1</t>
  </si>
  <si>
    <t>5.F.2 - Annual Change in Total Long-term C Storage</t>
  </si>
  <si>
    <t>5.F.2</t>
  </si>
  <si>
    <t>5.F.3 - Annual Change in Total Long-term C Storage in HWP Waste</t>
  </si>
  <si>
    <t>5.F.3</t>
  </si>
  <si>
    <t>6 - Other Sector</t>
  </si>
  <si>
    <t>6</t>
  </si>
  <si>
    <t>ind_CO2 - Indirect CO2</t>
  </si>
  <si>
    <t>ind_CO2</t>
  </si>
  <si>
    <t>National total (including international aviation)</t>
  </si>
  <si>
    <t>Sectors/Totals_excl_incl_avi</t>
  </si>
  <si>
    <t>Total (with LULUCF, without indirect CO2)</t>
  </si>
  <si>
    <t>Sectors/Totals_incl_excl</t>
  </si>
  <si>
    <t>Total (without LULUCF, with indirect CO2)</t>
  </si>
  <si>
    <t>Sectors/Totals_excl_incl</t>
  </si>
  <si>
    <t>Total (without LULUCF, without indirect CO2)</t>
  </si>
  <si>
    <t>Sectors/Totals_excl_excl</t>
  </si>
  <si>
    <t>None of these categories have bunkers of navigation included</t>
  </si>
  <si>
    <t xml:space="preserve">ESD CO2 </t>
  </si>
  <si>
    <t>ESR CO2 emissions (Excl bunkers navigation)</t>
  </si>
  <si>
    <t xml:space="preserve">Taken from the file </t>
  </si>
  <si>
    <t>EUCO30 PRIMES incl overview ESR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</si>
</sst>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1" formatCode="_(* #,##0_);_(* \(#,##0\);_(* &quot;-&quot;_);_(@_)"/>
    <numFmt numFmtId="43" formatCode="_(* #,##0.00_);_(* \(#,##0.00\);_(* &quot;-&quot;??_);_(@_)"/>
    <numFmt numFmtId="170" formatCode="_(&quot;$&quot;* #,##0.00_);_(&quot;$&quot;* \(#,##0.00\);_(&quot;$&quot;* &quot;-&quot;??_);_(@_)"/>
    <numFmt numFmtId="171" formatCode="_(* #,##0.00_);_(* \(#,##0.00\);_(* &quot;-&quot;??_);_(@_)"/>
    <numFmt numFmtId="178" formatCode="_-* #,##0.00\ &quot;€&quot;_-;\-* #,##0.00\ &quot;€&quot;_-;_-* &quot;-&quot;??\ &quot;€&quot;_-;_-@_-"/>
    <numFmt numFmtId="179" formatCode="_-* #,##0.00\ _€_-;\-* #,##0.00\ _€_-;_-* &quot;-&quot;??\ _€_-;_-@_-"/>
    <numFmt numFmtId="180" formatCode="_([$€]* #,##0.00_);_([$€]* \(#,##0.00\);_([$€]* &quot;-&quot;??_);_(@_)"/>
    <numFmt numFmtId="181" formatCode="_ &quot;kr&quot;\ * #,##0_ ;_ &quot;kr&quot;\ * \-#,##0_ ;_ &quot;kr&quot;\ * &quot;-&quot;_ ;_ @_ "/>
    <numFmt numFmtId="182" formatCode="_ &quot;kr&quot;\ * #,##0.00_ ;_ &quot;kr&quot;\ * \-#,##0.00_ ;_ &quot;kr&quot;\ * &quot;-&quot;??_ ;_ @_ "/>
    <numFmt numFmtId="183" formatCode="#,##0.0000"/>
    <numFmt numFmtId="186" formatCode="0.0"/>
    <numFmt numFmtId="188" formatCode="0.0%"/>
    <numFmt numFmtId="191" formatCode="_-* #,##0.00_-;\-* #,##0.00_-;_-* &quot;-&quot;??_-;_-@_-"/>
    <numFmt numFmtId="192" formatCode="_-[$€-2]* #,##0.00_-;\-[$€-2]* #,##0.00_-;_-[$€-2]* &quot;-&quot;??_-"/>
    <numFmt numFmtId="193" formatCode="_-[$€-2]\ * #,##0.00_-;\-[$€-2]\ * #,##0.00_-;_-[$€-2]\ * &quot;-&quot;??_-"/>
    <numFmt numFmtId="194" formatCode="_([$€-2]* #,##0.00_);_([$€-2]* \(#,##0.00\);_([$€-2]* &quot;-&quot;??_)"/>
    <numFmt numFmtId="195" formatCode="_-[$€]* #,##0.00_-;\-[$€]* #,##0.00_-;_-[$€]* &quot;-&quot;??_-;_-@_-"/>
    <numFmt numFmtId="196" formatCode="\(##\);\(##\)"/>
    <numFmt numFmtId="197" formatCode="#,##0;\-\ #,##0;_-\ &quot;- &quot;"/>
    <numFmt numFmtId="198" formatCode="#,##0.0"/>
    <numFmt numFmtId="208" formatCode="???,???.00"/>
  </numFmts>
  <fonts count="109">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color indexed="8"/>
      <name val="Calibri"/>
      <family val="2"/>
    </font>
    <font>
      <b/>
      <sz val="10"/>
      <name val="Arial"/>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indexed="8"/>
      <name val="Calibri"/>
      <family val="2"/>
    </font>
    <font>
      <b/>
      <sz val="11"/>
      <color indexed="8"/>
      <name val="Calibri"/>
      <family val="2"/>
    </font>
    <font>
      <sz val="10"/>
      <name val="Arial"/>
      <family val="2"/>
    </font>
    <font>
      <sz val="8"/>
      <name val="Arial"/>
      <family val="2"/>
    </font>
    <font>
      <u/>
      <sz val="10"/>
      <color indexed="12"/>
      <name val="Arial"/>
      <family val="2"/>
    </font>
    <font>
      <sz val="10"/>
      <name val="Courier"/>
      <family val="3"/>
    </font>
    <font>
      <sz val="10"/>
      <name val="Helvetica"/>
      <family val="2"/>
    </font>
    <font>
      <b/>
      <sz val="12"/>
      <name val="Arial"/>
      <family val="2"/>
    </font>
    <font>
      <sz val="8"/>
      <color indexed="9"/>
      <name val="Arial"/>
      <family val="2"/>
    </font>
    <font>
      <b/>
      <sz val="12"/>
      <name val="Times New Roman"/>
      <family val="1"/>
    </font>
    <font>
      <sz val="9"/>
      <name val="Times New Roman"/>
      <family val="1"/>
    </font>
    <font>
      <sz val="9"/>
      <color indexed="8"/>
      <name val="Times New Roman"/>
      <family val="1"/>
    </font>
    <font>
      <b/>
      <sz val="9"/>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11"/>
      <name val="Arial"/>
      <family val="2"/>
    </font>
    <font>
      <sz val="10"/>
      <name val="Arial"/>
      <family val="2"/>
      <charset val="161"/>
    </font>
    <font>
      <u/>
      <sz val="12"/>
      <color indexed="20"/>
      <name val="??"/>
      <charset val="134"/>
    </font>
    <font>
      <sz val="10"/>
      <color indexed="56"/>
      <name val="Arial"/>
      <family val="2"/>
    </font>
    <font>
      <i/>
      <sz val="8"/>
      <color indexed="38"/>
      <name val="Arial"/>
      <family val="2"/>
    </font>
    <font>
      <sz val="10"/>
      <color indexed="8"/>
      <name val="Arial"/>
      <family val="2"/>
    </font>
    <font>
      <sz val="11"/>
      <color indexed="60"/>
      <name val="Calibri"/>
      <family val="2"/>
      <charset val="161"/>
    </font>
    <font>
      <sz val="10"/>
      <name val="MS Sans Serif"/>
      <family val="2"/>
    </font>
    <font>
      <sz val="10"/>
      <name val="Times New Roman"/>
      <family val="1"/>
    </font>
    <font>
      <sz val="10"/>
      <name val="Myriad Pro"/>
    </font>
    <font>
      <b/>
      <vertAlign val="superscript"/>
      <sz val="12"/>
      <color indexed="54"/>
      <name val="Arial"/>
      <family val="2"/>
    </font>
    <font>
      <sz val="10"/>
      <color indexed="8"/>
      <name val="MS Sans Serif"/>
      <family val="2"/>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9"/>
      <name val="Verdana"/>
      <family val="2"/>
    </font>
    <font>
      <i/>
      <sz val="9"/>
      <color indexed="60"/>
      <name val="Verdana"/>
      <family val="2"/>
    </font>
    <font>
      <b/>
      <sz val="9"/>
      <name val="Verdana"/>
      <family val="2"/>
    </font>
    <font>
      <b/>
      <sz val="9"/>
      <name val="Arial"/>
      <family val="2"/>
    </font>
    <font>
      <u/>
      <sz val="10"/>
      <color indexed="12"/>
      <name val="Times New Roman"/>
      <family val="1"/>
    </font>
    <font>
      <u/>
      <sz val="12"/>
      <color indexed="20"/>
      <name val="宋体"/>
      <charset val="134"/>
    </font>
    <font>
      <sz val="11"/>
      <name val="Arial"/>
      <family val="2"/>
    </font>
    <font>
      <sz val="8"/>
      <name val="Arial"/>
      <family val="2"/>
    </font>
    <font>
      <sz val="8"/>
      <name val="Arial"/>
      <family val="2"/>
      <charset val="161"/>
    </font>
    <font>
      <sz val="8"/>
      <name val="Tahoma"/>
      <family val="2"/>
    </font>
    <font>
      <b/>
      <sz val="8"/>
      <color indexed="18"/>
      <name val="Tahoma"/>
      <family val="2"/>
      <charset val="161"/>
    </font>
    <font>
      <b/>
      <sz val="8"/>
      <color indexed="18"/>
      <name val="Tahoma"/>
      <family val="2"/>
    </font>
    <font>
      <vertAlign val="subscript"/>
      <sz val="8"/>
      <name val="Tahoma"/>
      <family val="2"/>
    </font>
    <font>
      <sz val="9"/>
      <name val="Arial"/>
      <family val="2"/>
    </font>
    <font>
      <sz val="8"/>
      <name val="Helvetica"/>
    </font>
    <font>
      <b/>
      <sz val="12"/>
      <color indexed="10"/>
      <name val="Arial"/>
      <family val="2"/>
    </font>
    <font>
      <b/>
      <vertAlign val="subscript"/>
      <sz val="8"/>
      <color indexed="18"/>
      <name val="Tahoma"/>
      <family val="2"/>
    </font>
    <font>
      <sz val="11"/>
      <color indexed="10"/>
      <name val="Calibri"/>
      <family val="2"/>
    </font>
    <font>
      <b/>
      <vertAlign val="subscript"/>
      <sz val="12"/>
      <name val="Times New Roman"/>
      <family val="1"/>
    </font>
    <font>
      <sz val="12"/>
      <name val="Times New Roman"/>
      <family val="1"/>
    </font>
    <font>
      <b/>
      <vertAlign val="subscript"/>
      <sz val="9"/>
      <name val="Times New Roman"/>
      <family val="1"/>
    </font>
    <font>
      <b/>
      <vertAlign val="superscript"/>
      <sz val="9"/>
      <name val="Times New Roman"/>
      <family val="1"/>
    </font>
    <font>
      <vertAlign val="subscript"/>
      <sz val="9"/>
      <name val="Times New Roman"/>
      <family val="1"/>
    </font>
    <font>
      <strike/>
      <sz val="9"/>
      <name val="Times New Roman"/>
      <family val="1"/>
    </font>
    <font>
      <strike/>
      <sz val="9"/>
      <color indexed="8"/>
      <name val="Times New Roman"/>
      <family val="1"/>
    </font>
    <font>
      <vertAlign val="superscript"/>
      <sz val="9"/>
      <color indexed="8"/>
      <name val="Times New Roman"/>
      <family val="1"/>
    </font>
    <font>
      <i/>
      <sz val="9"/>
      <name val="Times New Roman"/>
      <family val="1"/>
    </font>
    <font>
      <b/>
      <i/>
      <sz val="9"/>
      <name val="Times New Roman"/>
      <family val="1"/>
    </font>
    <font>
      <sz val="9"/>
      <name val="Times New Roman"/>
      <family val="1"/>
      <charset val="204"/>
    </font>
    <font>
      <vertAlign val="superscript"/>
      <sz val="9"/>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006100"/>
      <name val="Calibri"/>
      <family val="3"/>
      <charset val="128"/>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3F3F76"/>
      <name val="Calibri"/>
      <family val="3"/>
      <charset val="128"/>
      <scheme val="minor"/>
    </font>
    <font>
      <sz val="11"/>
      <color rgb="FFFA7D00"/>
      <name val="Calibri"/>
      <family val="2"/>
      <scheme val="minor"/>
    </font>
    <font>
      <sz val="11"/>
      <color rgb="FF9C6500"/>
      <name val="Calibri"/>
      <family val="2"/>
      <scheme val="minor"/>
    </font>
    <font>
      <sz val="11"/>
      <color theme="1"/>
      <name val="Calibri"/>
      <family val="3"/>
      <charset val="128"/>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6"/>
      <color theme="1"/>
      <name val="Calibri"/>
      <family val="2"/>
      <scheme val="minor"/>
    </font>
    <font>
      <sz val="11"/>
      <color rgb="FFFF0000"/>
      <name val="Calibri"/>
      <family val="2"/>
    </font>
  </fonts>
  <fills count="8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29"/>
        <bgColor indexed="64"/>
      </patternFill>
    </fill>
    <fill>
      <patternFill patternType="solid">
        <fgColor indexed="44"/>
        <bgColor indexed="64"/>
      </patternFill>
    </fill>
    <fill>
      <patternFill patternType="solid">
        <fgColor indexed="9"/>
        <bgColor indexed="64"/>
      </patternFill>
    </fill>
    <fill>
      <patternFill patternType="solid">
        <fgColor indexed="22"/>
        <bgColor indexed="0"/>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CCFFFF"/>
      </patternFill>
    </fill>
    <fill>
      <patternFill patternType="solid">
        <fgColor rgb="FF969696"/>
      </patternFill>
    </fill>
    <fill>
      <patternFill patternType="solid">
        <fgColor theme="0" tint="-4.9989318521683403E-2"/>
        <bgColor indexed="64"/>
      </patternFill>
    </fill>
    <fill>
      <patternFill patternType="solid">
        <fgColor rgb="FFFFC000"/>
        <bgColor indexed="64"/>
      </patternFill>
    </fill>
    <fill>
      <patternFill patternType="solid">
        <fgColor rgb="FFFFFFFF"/>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hair">
        <color indexed="23"/>
      </top>
      <bottom style="hair">
        <color indexed="23"/>
      </bottom>
      <diagonal/>
    </border>
    <border>
      <left/>
      <right/>
      <top style="hair">
        <color indexed="23"/>
      </top>
      <bottom style="medium">
        <color indexed="23"/>
      </bottom>
      <diagonal/>
    </border>
    <border>
      <left/>
      <right/>
      <top style="thin">
        <color indexed="64"/>
      </top>
      <bottom style="medium">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diagonal/>
    </border>
    <border>
      <left/>
      <right/>
      <top style="hair">
        <color indexed="23"/>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5"/>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style="thin">
        <color indexed="65"/>
      </top>
      <bottom/>
      <diagonal/>
    </border>
    <border>
      <left/>
      <right/>
      <top style="thin">
        <color indexed="8"/>
      </top>
      <bottom/>
      <diagonal/>
    </border>
    <border>
      <left style="thin">
        <color indexed="8"/>
      </left>
      <right style="thin">
        <color indexed="8"/>
      </right>
      <top/>
      <bottom/>
      <diagonal/>
    </border>
    <border>
      <left style="thin">
        <color indexed="8"/>
      </left>
      <right/>
      <top/>
      <bottom/>
      <diagonal/>
    </border>
    <border>
      <left style="thin">
        <color indexed="65"/>
      </left>
      <right/>
      <top style="thin">
        <color indexed="8"/>
      </top>
      <bottom/>
      <diagonal/>
    </border>
    <border>
      <left/>
      <right/>
      <top style="thin">
        <color indexed="8"/>
      </top>
      <bottom style="thin">
        <color indexed="8"/>
      </bottom>
      <diagonal/>
    </border>
    <border>
      <left style="thin">
        <color indexed="65"/>
      </left>
      <right/>
      <top style="thin">
        <color indexed="8"/>
      </top>
      <bottom style="thin">
        <color indexed="8"/>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439">
    <xf numFmtId="0" fontId="0" fillId="0" borderId="0"/>
    <xf numFmtId="0" fontId="41" fillId="0" borderId="0" applyNumberFormat="0" applyFill="0" applyBorder="0" applyAlignment="0" applyProtection="0">
      <alignment vertical="center"/>
    </xf>
    <xf numFmtId="0" fontId="86" fillId="5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6" fillId="51"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6" fillId="5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6" fillId="5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6" fillId="5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6" fillId="5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86" fillId="5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6" fillId="0" borderId="0" applyNumberFormat="0" applyFont="0" applyFill="0" applyBorder="0" applyProtection="0">
      <alignment horizontal="left" vertical="center" indent="2"/>
    </xf>
    <xf numFmtId="49" fontId="32" fillId="0" borderId="1" applyNumberFormat="0" applyFont="0" applyFill="0" applyBorder="0" applyProtection="0">
      <alignment horizontal="left" vertical="center" indent="2"/>
    </xf>
    <xf numFmtId="0" fontId="86" fillId="5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6" fillId="5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86" fillId="5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6" fillId="5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6" fillId="60"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6" fillId="6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6" fillId="0" borderId="0" applyNumberFormat="0" applyFont="0" applyFill="0" applyBorder="0" applyProtection="0">
      <alignment horizontal="left" vertical="center" indent="5"/>
    </xf>
    <xf numFmtId="49" fontId="32" fillId="0" borderId="2" applyNumberFormat="0" applyFont="0" applyFill="0" applyBorder="0" applyProtection="0">
      <alignment horizontal="left" vertical="center" indent="5"/>
    </xf>
    <xf numFmtId="0" fontId="6" fillId="0" borderId="0" applyNumberFormat="0" applyFont="0" applyFill="0" applyBorder="0" applyProtection="0">
      <alignment horizontal="left" vertical="center" indent="5"/>
    </xf>
    <xf numFmtId="0" fontId="87" fillId="6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87" fillId="63"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87" fillId="6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87" fillId="65"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7" fillId="66"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87" fillId="6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87" fillId="68"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7" fillId="69"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87" fillId="70"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87" fillId="7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7" fillId="72"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87" fillId="73"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34" fillId="20" borderId="0" applyBorder="0" applyAlignment="0"/>
    <xf numFmtId="4" fontId="34" fillId="20" borderId="0" applyBorder="0" applyAlignment="0"/>
    <xf numFmtId="0" fontId="32" fillId="20" borderId="0" applyBorder="0">
      <alignment horizontal="right" vertical="center"/>
    </xf>
    <xf numFmtId="4" fontId="32" fillId="20" borderId="0" applyBorder="0">
      <alignment horizontal="right" vertical="center"/>
    </xf>
    <xf numFmtId="0" fontId="32" fillId="20" borderId="1">
      <alignment horizontal="right" vertical="center"/>
    </xf>
    <xf numFmtId="4" fontId="32" fillId="21" borderId="0" applyBorder="0">
      <alignment horizontal="right" vertical="center"/>
    </xf>
    <xf numFmtId="0" fontId="32" fillId="21" borderId="0" applyBorder="0">
      <alignment horizontal="right" vertical="center"/>
    </xf>
    <xf numFmtId="4" fontId="32" fillId="21" borderId="0" applyBorder="0">
      <alignment horizontal="right" vertical="center"/>
    </xf>
    <xf numFmtId="0" fontId="32" fillId="21" borderId="0" applyBorder="0">
      <alignment horizontal="right" vertical="center"/>
    </xf>
    <xf numFmtId="0" fontId="33" fillId="21" borderId="1">
      <alignment horizontal="right" vertical="center"/>
    </xf>
    <xf numFmtId="4" fontId="33" fillId="21" borderId="1">
      <alignment horizontal="right" vertical="center"/>
    </xf>
    <xf numFmtId="0" fontId="33" fillId="21" borderId="3">
      <alignment horizontal="right" vertical="center"/>
    </xf>
    <xf numFmtId="0" fontId="35" fillId="21" borderId="1">
      <alignment horizontal="right" vertical="center"/>
    </xf>
    <xf numFmtId="4" fontId="35" fillId="21" borderId="1">
      <alignment horizontal="right" vertical="center"/>
    </xf>
    <xf numFmtId="0" fontId="33" fillId="22" borderId="1">
      <alignment horizontal="right" vertical="center"/>
    </xf>
    <xf numFmtId="4" fontId="33" fillId="22" borderId="1">
      <alignment horizontal="right" vertical="center"/>
    </xf>
    <xf numFmtId="0" fontId="33" fillId="22" borderId="3">
      <alignment horizontal="right" vertical="center"/>
    </xf>
    <xf numFmtId="0" fontId="33" fillId="22" borderId="1">
      <alignment horizontal="right" vertical="center"/>
    </xf>
    <xf numFmtId="4" fontId="33" fillId="22" borderId="1">
      <alignment horizontal="right" vertical="center"/>
    </xf>
    <xf numFmtId="0" fontId="33" fillId="22" borderId="4">
      <alignment horizontal="right" vertical="center"/>
    </xf>
    <xf numFmtId="0" fontId="33" fillId="22" borderId="2">
      <alignment horizontal="right" vertical="center"/>
    </xf>
    <xf numFmtId="4" fontId="33" fillId="22" borderId="2">
      <alignment horizontal="right" vertical="center"/>
    </xf>
    <xf numFmtId="0" fontId="33" fillId="22" borderId="5">
      <alignment horizontal="right" vertical="center"/>
    </xf>
    <xf numFmtId="4" fontId="33" fillId="22" borderId="5">
      <alignment horizontal="right" vertical="center"/>
    </xf>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19" fillId="23" borderId="6" applyNumberFormat="0" applyAlignment="0" applyProtection="0"/>
    <xf numFmtId="0" fontId="88" fillId="7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8" fillId="7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3" borderId="7" applyNumberFormat="0" applyAlignment="0" applyProtection="0"/>
    <xf numFmtId="4" fontId="34" fillId="0" borderId="8" applyFill="0" applyBorder="0" applyProtection="0">
      <alignment horizontal="right" vertical="center"/>
    </xf>
    <xf numFmtId="0" fontId="89" fillId="75" borderId="48"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0" fillId="76" borderId="4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49" fontId="6" fillId="20" borderId="10">
      <alignment vertical="top" wrapText="1"/>
    </xf>
    <xf numFmtId="179" fontId="6" fillId="0" borderId="0" applyFont="0" applyFill="0" applyBorder="0" applyAlignment="0" applyProtection="0"/>
    <xf numFmtId="171" fontId="24" fillId="0" borderId="0" applyFont="0" applyFill="0" applyBorder="0" applyAlignment="0" applyProtection="0"/>
    <xf numFmtId="191" fontId="6"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22" fillId="0" borderId="0" applyFont="0" applyFill="0" applyBorder="0" applyAlignment="0" applyProtection="0"/>
    <xf numFmtId="171" fontId="6" fillId="0" borderId="0" applyFont="0" applyFill="0" applyBorder="0" applyAlignment="0" applyProtection="0"/>
    <xf numFmtId="171" fontId="24"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24"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24"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9" fontId="6" fillId="0" borderId="0" applyFont="0" applyFill="0" applyBorder="0" applyAlignment="0" applyProtection="0"/>
    <xf numFmtId="179" fontId="24" fillId="0" borderId="0" applyFont="0" applyFill="0" applyBorder="0" applyAlignment="0" applyProtection="0"/>
    <xf numFmtId="43" fontId="40" fillId="0" borderId="0" applyFont="0" applyFill="0" applyBorder="0" applyAlignment="0" applyProtection="0"/>
    <xf numFmtId="171"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43" fontId="40" fillId="0" borderId="0" applyFont="0" applyFill="0" applyBorder="0" applyAlignment="0" applyProtection="0"/>
    <xf numFmtId="179" fontId="24" fillId="0" borderId="0" applyFont="0" applyFill="0" applyBorder="0" applyAlignment="0" applyProtection="0"/>
    <xf numFmtId="179" fontId="6" fillId="0" borderId="0" applyFont="0" applyFill="0" applyBorder="0" applyAlignment="0" applyProtection="0"/>
    <xf numFmtId="191" fontId="40"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0" fontId="33" fillId="0" borderId="0" applyNumberFormat="0">
      <alignment horizontal="right"/>
    </xf>
    <xf numFmtId="170" fontId="6" fillId="0" borderId="0" applyFont="0" applyFill="0" applyBorder="0" applyAlignment="0" applyProtection="0"/>
    <xf numFmtId="0" fontId="32" fillId="22" borderId="11">
      <alignment horizontal="left" vertical="center" wrapText="1" indent="2"/>
    </xf>
    <xf numFmtId="0" fontId="32" fillId="0" borderId="11">
      <alignment horizontal="left" vertical="center" wrapText="1" indent="2"/>
    </xf>
    <xf numFmtId="0" fontId="32" fillId="21" borderId="2">
      <alignment horizontal="left" vertical="center"/>
    </xf>
    <xf numFmtId="0" fontId="33" fillId="0" borderId="12">
      <alignment horizontal="left" vertical="top" wrapText="1"/>
    </xf>
    <xf numFmtId="3" fontId="42" fillId="0" borderId="10">
      <alignment horizontal="right" vertical="top"/>
    </xf>
    <xf numFmtId="0" fontId="16" fillId="7" borderId="7" applyNumberFormat="0" applyAlignment="0" applyProtection="0"/>
    <xf numFmtId="0" fontId="6" fillId="0" borderId="13"/>
    <xf numFmtId="0" fontId="5" fillId="25" borderId="1">
      <alignment horizontal="centerContinuous" vertical="top" wrapText="1"/>
    </xf>
    <xf numFmtId="0" fontId="43" fillId="0" borderId="0">
      <alignment vertical="top" wrapText="1"/>
    </xf>
    <xf numFmtId="0" fontId="2" fillId="0" borderId="14" applyNumberFormat="0" applyFill="0" applyAlignment="0" applyProtection="0"/>
    <xf numFmtId="0" fontId="11" fillId="0" borderId="0" applyNumberFormat="0" applyFill="0" applyBorder="0" applyAlignment="0" applyProtection="0"/>
    <xf numFmtId="0" fontId="44" fillId="0" borderId="0">
      <alignment vertical="top"/>
    </xf>
    <xf numFmtId="180"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2" fontId="40" fillId="0" borderId="0" applyFont="0" applyFill="0" applyBorder="0" applyAlignment="0" applyProtection="0"/>
    <xf numFmtId="193"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3" fontId="6" fillId="0" borderId="0" applyFont="0" applyFill="0" applyBorder="0" applyAlignment="0" applyProtection="0"/>
    <xf numFmtId="194" fontId="6" fillId="0" borderId="0" applyFont="0" applyFill="0" applyBorder="0" applyAlignment="0" applyProtection="0"/>
    <xf numFmtId="178"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80"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80" fontId="6" fillId="0" borderId="0" applyFont="0" applyFill="0" applyBorder="0" applyAlignment="0" applyProtection="0"/>
    <xf numFmtId="194" fontId="6" fillId="0" borderId="0" applyFont="0" applyFill="0" applyBorder="0" applyAlignment="0" applyProtection="0"/>
    <xf numFmtId="193"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80" fontId="6" fillId="0" borderId="0" applyFont="0" applyFill="0" applyBorder="0" applyAlignment="0" applyProtection="0"/>
    <xf numFmtId="195"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80"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78" fontId="6" fillId="0" borderId="0" applyFont="0" applyFill="0" applyBorder="0" applyAlignment="0" applyProtection="0"/>
    <xf numFmtId="193" fontId="6" fillId="0" borderId="0" applyFont="0" applyFill="0" applyBorder="0" applyAlignment="0" applyProtection="0"/>
    <xf numFmtId="192" fontId="40" fillId="0" borderId="0" applyFont="0" applyFill="0" applyBorder="0" applyAlignment="0" applyProtection="0"/>
    <xf numFmtId="195"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2" fontId="40" fillId="0" borderId="0" applyFont="0" applyFill="0" applyBorder="0" applyAlignment="0" applyProtection="0"/>
    <xf numFmtId="180"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5" fontId="6" fillId="0" borderId="0" applyFont="0" applyFill="0" applyBorder="0" applyAlignment="0" applyProtection="0"/>
    <xf numFmtId="0" fontId="9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11" fontId="6" fillId="0" borderId="0" applyFont="0" applyFill="0" applyBorder="0" applyAlignment="0" applyProtection="0"/>
    <xf numFmtId="11" fontId="6" fillId="0" borderId="0" applyFont="0" applyFill="0" applyBorder="0" applyAlignment="0" applyProtection="0"/>
    <xf numFmtId="11" fontId="40" fillId="0" borderId="0" applyFont="0" applyFill="0" applyBorder="0" applyAlignment="0" applyProtection="0"/>
    <xf numFmtId="11" fontId="40" fillId="0" borderId="0" applyFont="0" applyFill="0" applyBorder="0" applyAlignment="0" applyProtection="0"/>
    <xf numFmtId="0" fontId="92" fillId="7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93" fillId="7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92" fillId="7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94" fillId="0" borderId="50"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95" fillId="0" borderId="51"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96" fillId="0" borderId="52"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9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1" fillId="0" borderId="0" applyNumberFormat="0" applyFill="0" applyBorder="0" applyAlignment="0" applyProtection="0"/>
    <xf numFmtId="0" fontId="97" fillId="0" borderId="0" applyNumberFormat="0" applyFill="0" applyBorder="0" applyAlignment="0" applyProtection="0"/>
    <xf numFmtId="0" fontId="26" fillId="0" borderId="0" applyNumberFormat="0" applyFill="0" applyBorder="0" applyAlignment="0" applyProtection="0">
      <alignment vertical="top"/>
      <protection locked="0"/>
    </xf>
    <xf numFmtId="0" fontId="98" fillId="78" borderId="48"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99" fillId="78" borderId="48"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4" fontId="32" fillId="0" borderId="0" applyBorder="0">
      <alignment horizontal="right" vertical="center"/>
    </xf>
    <xf numFmtId="0" fontId="32" fillId="0" borderId="1">
      <alignment horizontal="right" vertical="center"/>
    </xf>
    <xf numFmtId="4" fontId="32" fillId="0" borderId="1">
      <alignment horizontal="right" vertical="center"/>
    </xf>
    <xf numFmtId="0" fontId="32" fillId="0" borderId="3">
      <alignment horizontal="right" vertical="center"/>
    </xf>
    <xf numFmtId="1" fontId="36" fillId="21" borderId="0" applyBorder="0">
      <alignment horizontal="right" vertical="center"/>
    </xf>
    <xf numFmtId="0" fontId="6" fillId="26" borderId="1"/>
    <xf numFmtId="0" fontId="31" fillId="0" borderId="0"/>
    <xf numFmtId="0" fontId="100" fillId="0" borderId="53"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01" fillId="79"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45"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01" fillId="79"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6" fillId="0" borderId="0"/>
    <xf numFmtId="0" fontId="86" fillId="0" borderId="0"/>
    <xf numFmtId="0" fontId="1" fillId="0" borderId="0"/>
    <xf numFmtId="0" fontId="6" fillId="0" borderId="0"/>
    <xf numFmtId="0" fontId="6" fillId="0" borderId="0"/>
    <xf numFmtId="0" fontId="1" fillId="0" borderId="0"/>
    <xf numFmtId="0" fontId="6" fillId="0" borderId="0"/>
    <xf numFmtId="0" fontId="6" fillId="0" borderId="0"/>
    <xf numFmtId="0" fontId="86" fillId="0" borderId="0"/>
    <xf numFmtId="0" fontId="6" fillId="0" borderId="0"/>
    <xf numFmtId="0" fontId="86" fillId="0" borderId="0"/>
    <xf numFmtId="0" fontId="1" fillId="0" borderId="0"/>
    <xf numFmtId="0" fontId="6"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86" fillId="0" borderId="0"/>
    <xf numFmtId="0" fontId="1" fillId="0" borderId="0"/>
    <xf numFmtId="0" fontId="6" fillId="0" borderId="0"/>
    <xf numFmtId="0" fontId="39" fillId="0" borderId="0"/>
    <xf numFmtId="0" fontId="39" fillId="0" borderId="0"/>
    <xf numFmtId="0" fontId="39" fillId="0" borderId="0"/>
    <xf numFmtId="0" fontId="6" fillId="0" borderId="0"/>
    <xf numFmtId="0" fontId="1" fillId="0" borderId="0"/>
    <xf numFmtId="0" fontId="6" fillId="0" borderId="0"/>
    <xf numFmtId="0" fontId="6" fillId="0" borderId="0">
      <alignment vertical="top"/>
    </xf>
    <xf numFmtId="0" fontId="6" fillId="0" borderId="0"/>
    <xf numFmtId="0" fontId="86" fillId="0" borderId="0"/>
    <xf numFmtId="0" fontId="6" fillId="0" borderId="0"/>
    <xf numFmtId="0" fontId="8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86" fillId="0" borderId="0"/>
    <xf numFmtId="0" fontId="6" fillId="0" borderId="0"/>
    <xf numFmtId="0" fontId="86" fillId="0" borderId="0"/>
    <xf numFmtId="0" fontId="8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86" fillId="0" borderId="0"/>
    <xf numFmtId="0" fontId="1" fillId="0" borderId="0"/>
    <xf numFmtId="0" fontId="6" fillId="0" borderId="0"/>
    <xf numFmtId="0" fontId="6" fillId="0" borderId="0"/>
    <xf numFmtId="0" fontId="6" fillId="0" borderId="0"/>
    <xf numFmtId="0" fontId="6" fillId="0" borderId="0"/>
    <xf numFmtId="0" fontId="6" fillId="0" borderId="0">
      <alignment vertical="top"/>
    </xf>
    <xf numFmtId="0" fontId="86" fillId="0" borderId="0"/>
    <xf numFmtId="0" fontId="6" fillId="0" borderId="0"/>
    <xf numFmtId="0" fontId="86" fillId="0" borderId="0"/>
    <xf numFmtId="0" fontId="86" fillId="0" borderId="0"/>
    <xf numFmtId="0" fontId="1" fillId="0" borderId="0"/>
    <xf numFmtId="4"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6" fillId="0" borderId="0"/>
    <xf numFmtId="0" fontId="1"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46"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6" fillId="0" borderId="0"/>
    <xf numFmtId="0" fontId="6" fillId="0" borderId="0"/>
    <xf numFmtId="0" fontId="6" fillId="0" borderId="0"/>
    <xf numFmtId="0" fontId="47" fillId="0" borderId="0"/>
    <xf numFmtId="0" fontId="1" fillId="0" borderId="0"/>
    <xf numFmtId="0" fontId="47" fillId="0" borderId="0"/>
    <xf numFmtId="0" fontId="1" fillId="0" borderId="0"/>
    <xf numFmtId="0" fontId="6" fillId="0" borderId="0"/>
    <xf numFmtId="0" fontId="6" fillId="0" borderId="0"/>
    <xf numFmtId="0" fontId="6" fillId="0" borderId="0"/>
    <xf numFmtId="0" fontId="6"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39"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86" fillId="0" borderId="0"/>
    <xf numFmtId="0" fontId="1" fillId="0" borderId="0"/>
    <xf numFmtId="0" fontId="6" fillId="0" borderId="0"/>
    <xf numFmtId="0" fontId="8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25" fillId="0" borderId="0"/>
    <xf numFmtId="0" fontId="25" fillId="0" borderId="0"/>
    <xf numFmtId="0" fontId="6" fillId="0" borderId="0"/>
    <xf numFmtId="0" fontId="6" fillId="0" borderId="0"/>
    <xf numFmtId="0" fontId="6" fillId="0" borderId="0"/>
    <xf numFmtId="0" fontId="1" fillId="0" borderId="0"/>
    <xf numFmtId="0" fontId="25" fillId="0" borderId="0"/>
    <xf numFmtId="0" fontId="25" fillId="0" borderId="0"/>
    <xf numFmtId="0" fontId="1" fillId="0" borderId="0"/>
    <xf numFmtId="0" fontId="6" fillId="0" borderId="0"/>
    <xf numFmtId="0" fontId="6" fillId="0" borderId="0"/>
    <xf numFmtId="0" fontId="6" fillId="0" borderId="0"/>
    <xf numFmtId="0" fontId="1" fillId="0" borderId="0"/>
    <xf numFmtId="0" fontId="86" fillId="0" borderId="0"/>
    <xf numFmtId="0" fontId="6" fillId="0" borderId="0"/>
    <xf numFmtId="0" fontId="1" fillId="0" borderId="0"/>
    <xf numFmtId="0" fontId="102"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39"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6" fillId="0" borderId="0"/>
    <xf numFmtId="0" fontId="62" fillId="0" borderId="0"/>
    <xf numFmtId="0" fontId="39" fillId="0" borderId="0"/>
    <xf numFmtId="0" fontId="62" fillId="0" borderId="0"/>
    <xf numFmtId="0" fontId="39" fillId="0" borderId="0"/>
    <xf numFmtId="0" fontId="63" fillId="0" borderId="0"/>
    <xf numFmtId="0" fontId="63" fillId="0" borderId="0"/>
    <xf numFmtId="0" fontId="1" fillId="0" borderId="0"/>
    <xf numFmtId="0" fontId="39" fillId="0" borderId="0"/>
    <xf numFmtId="0" fontId="39" fillId="0" borderId="0"/>
    <xf numFmtId="0" fontId="1" fillId="0" borderId="0"/>
    <xf numFmtId="0" fontId="24" fillId="0" borderId="0"/>
    <xf numFmtId="0" fontId="6" fillId="0" borderId="0"/>
    <xf numFmtId="0" fontId="24" fillId="0" borderId="0"/>
    <xf numFmtId="0" fontId="6" fillId="0" borderId="0"/>
    <xf numFmtId="0" fontId="1" fillId="0" borderId="0"/>
    <xf numFmtId="0" fontId="86" fillId="0" borderId="0"/>
    <xf numFmtId="0" fontId="6" fillId="0" borderId="0"/>
    <xf numFmtId="0" fontId="1" fillId="0" borderId="0"/>
    <xf numFmtId="0" fontId="86" fillId="0" borderId="0"/>
    <xf numFmtId="0" fontId="6" fillId="0" borderId="0"/>
    <xf numFmtId="0" fontId="1" fillId="0" borderId="0"/>
    <xf numFmtId="0" fontId="6" fillId="0" borderId="0"/>
    <xf numFmtId="0" fontId="1" fillId="0" borderId="0"/>
    <xf numFmtId="0" fontId="6" fillId="0" borderId="0"/>
    <xf numFmtId="0" fontId="86" fillId="0" borderId="0"/>
    <xf numFmtId="0" fontId="48" fillId="0" borderId="0"/>
    <xf numFmtId="0" fontId="86" fillId="0" borderId="0"/>
    <xf numFmtId="0" fontId="1" fillId="0" borderId="0"/>
    <xf numFmtId="0" fontId="6" fillId="0" borderId="0"/>
    <xf numFmtId="0" fontId="6" fillId="0" borderId="0"/>
    <xf numFmtId="0" fontId="1" fillId="0" borderId="0"/>
    <xf numFmtId="0" fontId="86" fillId="0" borderId="0"/>
    <xf numFmtId="0" fontId="6" fillId="0" borderId="0"/>
    <xf numFmtId="0" fontId="86" fillId="0" borderId="0"/>
    <xf numFmtId="0" fontId="6" fillId="0" borderId="0"/>
    <xf numFmtId="0" fontId="6" fillId="0" borderId="0"/>
    <xf numFmtId="0" fontId="86" fillId="0" borderId="0"/>
    <xf numFmtId="0" fontId="1" fillId="0" borderId="0"/>
    <xf numFmtId="0" fontId="39" fillId="0" borderId="0"/>
    <xf numFmtId="0" fontId="1" fillId="0" borderId="0"/>
    <xf numFmtId="0" fontId="6" fillId="0" borderId="0"/>
    <xf numFmtId="0" fontId="24" fillId="0" borderId="0"/>
    <xf numFmtId="0" fontId="6" fillId="0" borderId="0"/>
    <xf numFmtId="0" fontId="1" fillId="0" borderId="0"/>
    <xf numFmtId="0" fontId="1" fillId="0" borderId="0"/>
    <xf numFmtId="0" fontId="1" fillId="0" borderId="0"/>
    <xf numFmtId="0" fontId="86" fillId="0" borderId="0"/>
    <xf numFmtId="0" fontId="86" fillId="0" borderId="0"/>
    <xf numFmtId="208" fontId="69" fillId="0" borderId="0" applyNumberFormat="0" applyProtection="0">
      <alignment horizontal="center" vertical="center"/>
    </xf>
    <xf numFmtId="0" fontId="1" fillId="0" borderId="0"/>
    <xf numFmtId="0" fontId="6" fillId="0" borderId="0"/>
    <xf numFmtId="0" fontId="86" fillId="0" borderId="0"/>
    <xf numFmtId="0" fontId="1" fillId="0" borderId="0"/>
    <xf numFmtId="0" fontId="86" fillId="0" borderId="0"/>
    <xf numFmtId="0" fontId="6" fillId="0" borderId="0"/>
    <xf numFmtId="0" fontId="1" fillId="0" borderId="0"/>
    <xf numFmtId="0" fontId="1" fillId="0" borderId="0"/>
    <xf numFmtId="0" fontId="86" fillId="0" borderId="0"/>
    <xf numFmtId="0" fontId="6" fillId="0" borderId="0"/>
    <xf numFmtId="0" fontId="86" fillId="0" borderId="0"/>
    <xf numFmtId="0" fontId="86" fillId="0" borderId="0"/>
    <xf numFmtId="0" fontId="6" fillId="0" borderId="0"/>
    <xf numFmtId="0" fontId="6"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4"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6" fillId="0" borderId="0"/>
    <xf numFmtId="0" fontId="6" fillId="0" borderId="0"/>
    <xf numFmtId="0" fontId="6" fillId="0" borderId="0"/>
    <xf numFmtId="0" fontId="6" fillId="0" borderId="0"/>
    <xf numFmtId="0" fontId="47"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86" fillId="0" borderId="0"/>
    <xf numFmtId="0" fontId="6" fillId="0" borderId="0"/>
    <xf numFmtId="0" fontId="40" fillId="0" borderId="0"/>
    <xf numFmtId="0" fontId="40" fillId="0" borderId="0"/>
    <xf numFmtId="0" fontId="6" fillId="0" borderId="0"/>
    <xf numFmtId="0" fontId="6" fillId="0" borderId="0"/>
    <xf numFmtId="0" fontId="1"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86"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4" fontId="32" fillId="0" borderId="0" applyFill="0" applyBorder="0" applyProtection="0">
      <alignment horizontal="right" vertical="center"/>
    </xf>
    <xf numFmtId="4" fontId="32" fillId="0" borderId="1" applyFill="0" applyBorder="0" applyProtection="0">
      <alignment horizontal="right" vertical="center"/>
    </xf>
    <xf numFmtId="4" fontId="32" fillId="0" borderId="0" applyFill="0" applyBorder="0" applyProtection="0">
      <alignment horizontal="right" vertical="center"/>
    </xf>
    <xf numFmtId="0" fontId="34" fillId="0" borderId="0" applyNumberFormat="0" applyFill="0" applyBorder="0" applyProtection="0">
      <alignment horizontal="left" vertical="center"/>
    </xf>
    <xf numFmtId="0" fontId="32" fillId="0" borderId="1" applyNumberFormat="0" applyFill="0" applyAlignment="0" applyProtection="0"/>
    <xf numFmtId="0" fontId="6" fillId="28" borderId="0" applyNumberFormat="0" applyFont="0" applyBorder="0" applyAlignment="0" applyProtection="0"/>
    <xf numFmtId="4" fontId="6" fillId="28" borderId="0" applyNumberFormat="0" applyFont="0" applyBorder="0" applyAlignment="0" applyProtection="0"/>
    <xf numFmtId="0" fontId="70" fillId="29" borderId="0" applyNumberFormat="0" applyFont="0" applyBorder="0" applyAlignment="0" applyProtection="0"/>
    <xf numFmtId="0" fontId="6" fillId="28" borderId="0" applyNumberFormat="0" applyFont="0" applyBorder="0" applyAlignment="0" applyProtection="0"/>
    <xf numFmtId="0" fontId="44" fillId="0" borderId="0"/>
    <xf numFmtId="0" fontId="65" fillId="0" borderId="0"/>
    <xf numFmtId="0" fontId="37" fillId="0" borderId="0"/>
    <xf numFmtId="0" fontId="44" fillId="0" borderId="0"/>
    <xf numFmtId="0" fontId="44" fillId="0" borderId="0"/>
    <xf numFmtId="0" fontId="44" fillId="0" borderId="0"/>
    <xf numFmtId="0" fontId="44" fillId="0" borderId="0"/>
    <xf numFmtId="0" fontId="44" fillId="0" borderId="0"/>
    <xf numFmtId="0" fontId="27" fillId="0" borderId="0"/>
    <xf numFmtId="0" fontId="3" fillId="0" borderId="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86" fillId="80" borderId="54" applyNumberFormat="0" applyFont="0" applyAlignment="0" applyProtection="0"/>
    <xf numFmtId="0" fontId="86" fillId="80" borderId="54" applyNumberFormat="0" applyFont="0" applyAlignment="0" applyProtection="0"/>
    <xf numFmtId="0" fontId="86" fillId="80" borderId="54"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40" fillId="30" borderId="19" applyNumberFormat="0" applyFont="0" applyAlignment="0" applyProtection="0"/>
    <xf numFmtId="0" fontId="6" fillId="30" borderId="19" applyNumberFormat="0" applyFont="0" applyAlignment="0" applyProtection="0"/>
    <xf numFmtId="0" fontId="40" fillId="30" borderId="19" applyNumberFormat="0" applyFont="0" applyAlignment="0" applyProtection="0"/>
    <xf numFmtId="196" fontId="49" fillId="0" borderId="0">
      <alignment horizontal="right"/>
    </xf>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197" fontId="6" fillId="0" borderId="0" applyFont="0" applyFill="0" applyBorder="0" applyAlignment="0" applyProtection="0"/>
    <xf numFmtId="0" fontId="103" fillId="75" borderId="55"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183" fontId="32" fillId="31" borderId="1" applyNumberFormat="0" applyFont="0" applyBorder="0" applyAlignment="0" applyProtection="0">
      <alignment horizontal="right" vertical="center"/>
    </xf>
    <xf numFmtId="9" fontId="22" fillId="0" borderId="0" applyFont="0" applyFill="0" applyBorder="0" applyAlignment="0" applyProtection="0"/>
    <xf numFmtId="9" fontId="8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43" fontId="28" fillId="0" borderId="0" applyFont="0" applyFill="0" applyBorder="0" applyAlignment="0" applyProtection="0"/>
    <xf numFmtId="41" fontId="28" fillId="0" borderId="0" applyFont="0" applyFill="0" applyBorder="0" applyAlignment="0" applyProtection="0"/>
    <xf numFmtId="181" fontId="28" fillId="0" borderId="0" applyFont="0" applyFill="0" applyBorder="0" applyAlignment="0" applyProtection="0"/>
    <xf numFmtId="0" fontId="8" fillId="3" borderId="0" applyNumberFormat="0" applyBorder="0" applyAlignment="0" applyProtection="0"/>
    <xf numFmtId="0" fontId="32" fillId="28" borderId="1"/>
    <xf numFmtId="0" fontId="43" fillId="0" borderId="0">
      <alignment vertical="top" wrapText="1"/>
    </xf>
    <xf numFmtId="0" fontId="43" fillId="0" borderId="0">
      <alignment vertical="top" wrapText="1"/>
    </xf>
    <xf numFmtId="0" fontId="43" fillId="0" borderId="0">
      <alignment vertical="top" wrapText="1"/>
    </xf>
    <xf numFmtId="0" fontId="50" fillId="0" borderId="0"/>
    <xf numFmtId="0" fontId="6" fillId="0" borderId="0"/>
    <xf numFmtId="0" fontId="6" fillId="0" borderId="0"/>
    <xf numFmtId="0" fontId="32" fillId="0" borderId="0"/>
    <xf numFmtId="0" fontId="44" fillId="0" borderId="0">
      <alignment vertical="top"/>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0" fontId="6" fillId="0" borderId="1" applyNumberFormat="0" applyFill="0" applyProtection="0">
      <alignment horizontal="right"/>
    </xf>
    <xf numFmtId="0" fontId="6" fillId="0" borderId="1" applyNumberFormat="0" applyFill="0" applyProtection="0">
      <alignment horizontal="right"/>
    </xf>
    <xf numFmtId="0" fontId="6" fillId="0" borderId="1" applyNumberFormat="0" applyFill="0" applyProtection="0">
      <alignment horizontal="right"/>
    </xf>
    <xf numFmtId="49" fontId="6" fillId="0" borderId="1" applyFill="0" applyProtection="0">
      <alignment horizontal="right"/>
    </xf>
    <xf numFmtId="49" fontId="40" fillId="0" borderId="1" applyFill="0" applyProtection="0">
      <alignment horizontal="right"/>
    </xf>
    <xf numFmtId="0" fontId="6" fillId="0" borderId="1" applyNumberFormat="0" applyFill="0" applyProtection="0">
      <alignment horizontal="right"/>
    </xf>
    <xf numFmtId="49" fontId="40" fillId="0" borderId="1" applyFill="0" applyProtection="0">
      <alignment horizontal="right"/>
    </xf>
    <xf numFmtId="0" fontId="5" fillId="32" borderId="1" applyNumberFormat="0" applyProtection="0">
      <alignment horizontal="right"/>
    </xf>
    <xf numFmtId="0" fontId="5" fillId="32" borderId="1" applyNumberFormat="0" applyProtection="0">
      <alignment horizontal="right"/>
    </xf>
    <xf numFmtId="0" fontId="51" fillId="32" borderId="1" applyNumberFormat="0" applyProtection="0">
      <alignment horizontal="right"/>
    </xf>
    <xf numFmtId="0" fontId="29" fillId="32" borderId="0" applyNumberFormat="0" applyBorder="0" applyProtection="0">
      <alignment horizontal="left"/>
    </xf>
    <xf numFmtId="0" fontId="29" fillId="32" borderId="0" applyNumberFormat="0" applyBorder="0" applyProtection="0">
      <alignment horizontal="left"/>
    </xf>
    <xf numFmtId="0" fontId="52" fillId="32" borderId="0" applyNumberFormat="0" applyBorder="0" applyProtection="0">
      <alignment horizontal="left"/>
    </xf>
    <xf numFmtId="0" fontId="5" fillId="32" borderId="1" applyNumberFormat="0" applyProtection="0">
      <alignment horizontal="left"/>
    </xf>
    <xf numFmtId="0" fontId="5" fillId="32" borderId="1" applyNumberFormat="0" applyProtection="0">
      <alignment horizontal="left"/>
    </xf>
    <xf numFmtId="0" fontId="51" fillId="32" borderId="1" applyNumberFormat="0" applyProtection="0">
      <alignment horizontal="left"/>
    </xf>
    <xf numFmtId="0" fontId="6"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40" fillId="0" borderId="1" applyNumberFormat="0" applyFill="0" applyProtection="0">
      <alignment horizontal="right"/>
    </xf>
    <xf numFmtId="0" fontId="30" fillId="33" borderId="0" applyNumberFormat="0" applyBorder="0" applyProtection="0">
      <alignment horizontal="left"/>
    </xf>
    <xf numFmtId="0" fontId="30" fillId="33" borderId="0" applyNumberFormat="0" applyBorder="0" applyProtection="0">
      <alignment horizontal="left"/>
    </xf>
    <xf numFmtId="0" fontId="53"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198" fontId="56" fillId="35" borderId="20">
      <alignment vertical="center"/>
    </xf>
    <xf numFmtId="188" fontId="57" fillId="35" borderId="20">
      <alignment vertical="center"/>
    </xf>
    <xf numFmtId="198" fontId="58" fillId="36" borderId="20">
      <alignment vertical="center"/>
    </xf>
    <xf numFmtId="0" fontId="6" fillId="37" borderId="21" applyBorder="0">
      <alignment horizontal="left" vertical="center"/>
    </xf>
    <xf numFmtId="49" fontId="6" fillId="38" borderId="1">
      <alignment vertical="center" wrapText="1"/>
    </xf>
    <xf numFmtId="0" fontId="6" fillId="39" borderId="22">
      <alignment horizontal="left" vertical="center" wrapText="1"/>
    </xf>
    <xf numFmtId="0" fontId="59" fillId="40" borderId="1">
      <alignment horizontal="left" vertical="center" wrapText="1"/>
    </xf>
    <xf numFmtId="0" fontId="6" fillId="41" borderId="1">
      <alignment horizontal="left" vertical="center" wrapText="1"/>
    </xf>
    <xf numFmtId="0" fontId="6" fillId="42" borderId="1">
      <alignment horizontal="left" vertical="center" wrapText="1"/>
    </xf>
    <xf numFmtId="0" fontId="10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05" fillId="0" borderId="56"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0" fillId="0" borderId="0" applyNumberFormat="0" applyFill="0" applyBorder="0" applyAlignment="0" applyProtection="0"/>
    <xf numFmtId="0" fontId="13" fillId="0" borderId="15" applyNumberFormat="0" applyFill="0" applyAlignment="0" applyProtection="0"/>
    <xf numFmtId="0" fontId="14" fillId="0" borderId="16" applyNumberFormat="0" applyFill="0" applyAlignment="0" applyProtection="0"/>
    <xf numFmtId="0" fontId="15" fillId="0" borderId="17" applyNumberFormat="0" applyFill="0" applyAlignment="0" applyProtection="0"/>
    <xf numFmtId="0" fontId="15" fillId="0" borderId="0" applyNumberFormat="0" applyFill="0" applyBorder="0" applyAlignment="0" applyProtection="0"/>
    <xf numFmtId="182" fontId="28" fillId="0" borderId="0" applyFont="0" applyFill="0" applyBorder="0" applyAlignment="0" applyProtection="0"/>
    <xf numFmtId="0" fontId="17" fillId="0" borderId="18" applyNumberFormat="0" applyFill="0" applyAlignment="0" applyProtection="0"/>
    <xf numFmtId="0" fontId="21" fillId="0" borderId="0" applyNumberFormat="0" applyFill="0" applyBorder="0" applyAlignment="0" applyProtection="0"/>
    <xf numFmtId="0" fontId="10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71" fillId="0" borderId="23">
      <alignment horizontal="center"/>
      <protection hidden="1"/>
    </xf>
    <xf numFmtId="0" fontId="10" fillId="24" borderId="9" applyNumberFormat="0" applyAlignment="0" applyProtection="0"/>
    <xf numFmtId="0" fontId="38" fillId="0" borderId="0" applyNumberFormat="0" applyFill="0" applyBorder="0" applyAlignment="0" applyProtection="0"/>
    <xf numFmtId="0" fontId="60" fillId="0" borderId="0" applyNumberFormat="0" applyFill="0" applyBorder="0" applyAlignment="0" applyProtection="0"/>
    <xf numFmtId="0" fontId="32" fillId="0" borderId="0"/>
    <xf numFmtId="0" fontId="61" fillId="0" borderId="0" applyNumberFormat="0" applyFill="0" applyBorder="0" applyAlignment="0" applyProtection="0">
      <alignment vertical="center"/>
    </xf>
  </cellStyleXfs>
  <cellXfs count="175">
    <xf numFmtId="0" fontId="0" fillId="0" borderId="0" xfId="0"/>
    <xf numFmtId="0" fontId="4" fillId="0" borderId="0" xfId="2315" applyFont="1"/>
    <xf numFmtId="0" fontId="5" fillId="43" borderId="0" xfId="0" applyFont="1" applyFill="1" applyBorder="1"/>
    <xf numFmtId="0" fontId="5" fillId="0" borderId="0" xfId="0" applyFont="1" applyAlignment="1">
      <alignment horizontal="right"/>
    </xf>
    <xf numFmtId="0" fontId="5" fillId="44" borderId="0" xfId="0" applyFont="1" applyFill="1" applyBorder="1"/>
    <xf numFmtId="0" fontId="5" fillId="29" borderId="0" xfId="0" applyFont="1" applyFill="1" applyBorder="1"/>
    <xf numFmtId="0" fontId="5" fillId="0" borderId="0" xfId="0" applyFont="1" applyFill="1" applyBorder="1"/>
    <xf numFmtId="0" fontId="2" fillId="0" borderId="0" xfId="2315" applyFont="1"/>
    <xf numFmtId="1" fontId="65" fillId="44" borderId="24" xfId="2307" applyNumberFormat="1" applyFill="1" applyBorder="1" applyAlignment="1"/>
    <xf numFmtId="1" fontId="65" fillId="44" borderId="25" xfId="2307" applyNumberFormat="1" applyFill="1" applyBorder="1" applyAlignment="1"/>
    <xf numFmtId="0" fontId="23" fillId="0" borderId="0" xfId="0" applyFont="1" applyAlignment="1">
      <alignment vertical="center" wrapText="1"/>
    </xf>
    <xf numFmtId="0" fontId="23" fillId="0" borderId="0" xfId="0" applyFont="1" applyAlignment="1">
      <alignment horizontal="center" vertical="center" wrapText="1"/>
    </xf>
    <xf numFmtId="10" fontId="0" fillId="0" borderId="0" xfId="0" applyNumberFormat="1"/>
    <xf numFmtId="9" fontId="0" fillId="0" borderId="0" xfId="0" applyNumberFormat="1"/>
    <xf numFmtId="0" fontId="0" fillId="0" borderId="0" xfId="0"/>
    <xf numFmtId="0" fontId="0" fillId="0" borderId="0" xfId="0"/>
    <xf numFmtId="0" fontId="5" fillId="45" borderId="26" xfId="1900" applyFont="1" applyFill="1" applyBorder="1" applyAlignment="1">
      <alignment horizontal="center"/>
    </xf>
    <xf numFmtId="0" fontId="18" fillId="46" borderId="0" xfId="1863" applyFont="1" applyFill="1"/>
    <xf numFmtId="2" fontId="0" fillId="0" borderId="0" xfId="0" applyNumberFormat="1"/>
    <xf numFmtId="186" fontId="0" fillId="0" borderId="0" xfId="0" applyNumberFormat="1"/>
    <xf numFmtId="0" fontId="67" fillId="0" borderId="27" xfId="2307" applyFont="1" applyFill="1" applyBorder="1" applyAlignment="1">
      <alignment horizontal="left"/>
    </xf>
    <xf numFmtId="0" fontId="67" fillId="0" borderId="27" xfId="2307" applyFont="1" applyFill="1" applyBorder="1" applyAlignment="1">
      <alignment horizontal="center"/>
    </xf>
    <xf numFmtId="0" fontId="65" fillId="0" borderId="28" xfId="2307" applyFill="1" applyBorder="1" applyAlignment="1">
      <alignment horizontal="left" indent="1"/>
    </xf>
    <xf numFmtId="1" fontId="65" fillId="0" borderId="28" xfId="2307" applyNumberFormat="1" applyFill="1" applyBorder="1" applyAlignment="1"/>
    <xf numFmtId="0" fontId="65" fillId="0" borderId="24" xfId="2307" applyFill="1" applyBorder="1" applyAlignment="1">
      <alignment horizontal="left" indent="1"/>
    </xf>
    <xf numFmtId="1" fontId="65" fillId="0" borderId="24" xfId="2307" applyNumberFormat="1" applyFill="1" applyBorder="1" applyAlignment="1"/>
    <xf numFmtId="0" fontId="65" fillId="0" borderId="29" xfId="2307" applyFill="1" applyBorder="1" applyAlignment="1">
      <alignment horizontal="left" indent="1"/>
    </xf>
    <xf numFmtId="0" fontId="65" fillId="0" borderId="25" xfId="2307" applyFill="1" applyBorder="1" applyAlignment="1">
      <alignment horizontal="left" indent="1"/>
    </xf>
    <xf numFmtId="0" fontId="65" fillId="0" borderId="26" xfId="2307" applyFill="1" applyBorder="1" applyAlignment="1">
      <alignment horizontal="left"/>
    </xf>
    <xf numFmtId="1" fontId="65" fillId="0" borderId="26" xfId="2307" applyNumberFormat="1" applyFill="1" applyBorder="1" applyAlignment="1"/>
    <xf numFmtId="1" fontId="65" fillId="0" borderId="29" xfId="2307" applyNumberFormat="1" applyFill="1" applyBorder="1" applyAlignment="1"/>
    <xf numFmtId="1" fontId="65" fillId="0" borderId="25" xfId="2307" applyNumberFormat="1" applyFill="1" applyBorder="1" applyAlignment="1"/>
    <xf numFmtId="0" fontId="65" fillId="0" borderId="25" xfId="2307" applyFont="1" applyFill="1" applyBorder="1" applyAlignment="1">
      <alignment horizontal="left" indent="1"/>
    </xf>
    <xf numFmtId="0" fontId="65" fillId="0" borderId="29" xfId="2307" applyFont="1" applyFill="1" applyBorder="1" applyAlignment="1">
      <alignment horizontal="left" indent="1"/>
    </xf>
    <xf numFmtId="1" fontId="65" fillId="44" borderId="29" xfId="2307" applyNumberFormat="1" applyFill="1" applyBorder="1" applyAlignment="1"/>
    <xf numFmtId="0" fontId="0" fillId="0" borderId="0" xfId="0" quotePrefix="1"/>
    <xf numFmtId="0" fontId="65" fillId="0" borderId="24" xfId="2307" applyFont="1" applyFill="1" applyBorder="1" applyAlignment="1">
      <alignment horizontal="left" indent="1"/>
    </xf>
    <xf numFmtId="0" fontId="65" fillId="0" borderId="24" xfId="2307" applyFont="1" applyFill="1" applyBorder="1" applyAlignment="1">
      <alignment horizontal="left" indent="2"/>
    </xf>
    <xf numFmtId="0" fontId="65" fillId="0" borderId="30" xfId="2307" applyFont="1" applyFill="1" applyBorder="1" applyAlignment="1">
      <alignment horizontal="left" indent="2"/>
    </xf>
    <xf numFmtId="1" fontId="65" fillId="0" borderId="30" xfId="2307" applyNumberFormat="1" applyBorder="1"/>
    <xf numFmtId="1" fontId="65" fillId="0" borderId="24" xfId="2307" applyNumberFormat="1" applyBorder="1"/>
    <xf numFmtId="1" fontId="65" fillId="0" borderId="29" xfId="2307" quotePrefix="1" applyNumberFormat="1" applyFill="1" applyBorder="1" applyAlignment="1"/>
    <xf numFmtId="1" fontId="65" fillId="0" borderId="24" xfId="2307" quotePrefix="1" applyNumberFormat="1" applyFill="1" applyBorder="1" applyAlignment="1"/>
    <xf numFmtId="1" fontId="65" fillId="0" borderId="25" xfId="2307" quotePrefix="1" applyNumberFormat="1" applyFill="1" applyBorder="1" applyAlignment="1"/>
    <xf numFmtId="1" fontId="65" fillId="0" borderId="24" xfId="2307" quotePrefix="1" applyNumberFormat="1" applyBorder="1"/>
    <xf numFmtId="1" fontId="65" fillId="0" borderId="30" xfId="2307" quotePrefix="1" applyNumberFormat="1" applyBorder="1"/>
    <xf numFmtId="0" fontId="24" fillId="0" borderId="0" xfId="2188"/>
    <xf numFmtId="0" fontId="0" fillId="0" borderId="0" xfId="0"/>
    <xf numFmtId="0" fontId="6" fillId="47" borderId="31" xfId="1939" applyNumberFormat="1" applyFont="1" applyFill="1" applyBorder="1" applyAlignment="1"/>
    <xf numFmtId="1" fontId="0" fillId="0" borderId="0" xfId="0" applyNumberFormat="1"/>
    <xf numFmtId="9" fontId="86" fillId="0" borderId="0" xfId="2516" applyFont="1"/>
    <xf numFmtId="1" fontId="65" fillId="81" borderId="25" xfId="2307" applyNumberFormat="1" applyFill="1" applyBorder="1" applyAlignment="1"/>
    <xf numFmtId="0" fontId="105" fillId="0" borderId="0" xfId="0" applyFont="1"/>
    <xf numFmtId="0" fontId="0" fillId="0" borderId="0" xfId="0" applyAlignment="1">
      <alignment horizontal="right"/>
    </xf>
    <xf numFmtId="1" fontId="0" fillId="0" borderId="0" xfId="0" applyNumberFormat="1" applyAlignment="1">
      <alignment horizontal="right"/>
    </xf>
    <xf numFmtId="0" fontId="32" fillId="48" borderId="0" xfId="1925" applyFont="1" applyFill="1" applyAlignment="1"/>
    <xf numFmtId="0" fontId="32" fillId="48" borderId="0" xfId="1362" applyFont="1" applyFill="1" applyBorder="1" applyAlignment="1" applyProtection="1">
      <alignment horizontal="right"/>
    </xf>
    <xf numFmtId="0" fontId="31" fillId="48" borderId="0" xfId="1752" applyFont="1" applyFill="1" applyAlignment="1">
      <alignment vertical="center"/>
    </xf>
    <xf numFmtId="0" fontId="75" fillId="48" borderId="0" xfId="1925" applyFont="1" applyFill="1" applyAlignment="1"/>
    <xf numFmtId="0" fontId="32" fillId="48" borderId="0" xfId="3437" applyFont="1" applyFill="1" applyBorder="1" applyAlignment="1">
      <alignment vertical="center"/>
    </xf>
    <xf numFmtId="2" fontId="34" fillId="20" borderId="21" xfId="3437" applyNumberFormat="1" applyFont="1" applyFill="1" applyBorder="1" applyAlignment="1">
      <alignment vertical="center"/>
    </xf>
    <xf numFmtId="2" fontId="34" fillId="20" borderId="1" xfId="3437" applyNumberFormat="1" applyFont="1" applyFill="1" applyBorder="1" applyAlignment="1">
      <alignment horizontal="center" vertical="center"/>
    </xf>
    <xf numFmtId="2" fontId="34" fillId="20" borderId="1" xfId="3437" applyNumberFormat="1" applyFont="1" applyFill="1" applyBorder="1" applyAlignment="1">
      <alignment horizontal="center" vertical="center" wrapText="1"/>
    </xf>
    <xf numFmtId="2" fontId="34" fillId="20" borderId="32" xfId="3437" applyNumberFormat="1" applyFont="1" applyFill="1" applyBorder="1" applyAlignment="1">
      <alignment horizontal="left" vertical="center"/>
    </xf>
    <xf numFmtId="2" fontId="34" fillId="48" borderId="0" xfId="3437" applyNumberFormat="1" applyFont="1" applyFill="1" applyBorder="1" applyAlignment="1">
      <alignment horizontal="right" vertical="center"/>
    </xf>
    <xf numFmtId="0" fontId="32" fillId="48" borderId="0" xfId="3437" applyFont="1" applyFill="1" applyBorder="1" applyAlignment="1" applyProtection="1">
      <alignment horizontal="right" vertical="center"/>
    </xf>
    <xf numFmtId="0" fontId="85" fillId="48" borderId="0" xfId="3437" applyFont="1" applyFill="1" applyAlignment="1">
      <alignment horizontal="left" vertical="top"/>
    </xf>
    <xf numFmtId="0" fontId="32" fillId="48" borderId="0" xfId="1925" applyFont="1" applyFill="1" applyAlignment="1">
      <alignment vertical="top"/>
    </xf>
    <xf numFmtId="1" fontId="34" fillId="20" borderId="33" xfId="3437" applyNumberFormat="1" applyFont="1" applyFill="1" applyBorder="1" applyAlignment="1" applyProtection="1">
      <alignment vertical="center"/>
    </xf>
    <xf numFmtId="1" fontId="32" fillId="82" borderId="1" xfId="0" applyNumberFormat="1" applyFont="1" applyFill="1" applyBorder="1" applyAlignment="1">
      <alignment horizontal="right"/>
    </xf>
    <xf numFmtId="1" fontId="34" fillId="20" borderId="1" xfId="3437" applyNumberFormat="1" applyFont="1" applyFill="1" applyBorder="1" applyAlignment="1" applyProtection="1">
      <alignment vertical="center"/>
    </xf>
    <xf numFmtId="1" fontId="32" fillId="83" borderId="1" xfId="0" applyNumberFormat="1" applyFont="1" applyFill="1" applyBorder="1" applyAlignment="1">
      <alignment horizontal="right"/>
    </xf>
    <xf numFmtId="1" fontId="32" fillId="20" borderId="1" xfId="3437" applyNumberFormat="1" applyFont="1" applyFill="1" applyBorder="1" applyAlignment="1" applyProtection="1">
      <alignment horizontal="left" vertical="center" indent="2"/>
    </xf>
    <xf numFmtId="1" fontId="32" fillId="20" borderId="1" xfId="557" applyNumberFormat="1" applyFont="1" applyFill="1" applyBorder="1" applyAlignment="1">
      <alignment horizontal="left" vertical="center" indent="5"/>
    </xf>
    <xf numFmtId="1" fontId="32" fillId="20" borderId="1" xfId="279" applyNumberFormat="1" applyFont="1" applyFill="1" applyBorder="1" applyAlignment="1">
      <alignment horizontal="left" vertical="center" indent="2"/>
    </xf>
    <xf numFmtId="1" fontId="32" fillId="20" borderId="1" xfId="279" applyNumberFormat="1" applyFont="1" applyFill="1" applyBorder="1" applyAlignment="1">
      <alignment horizontal="left" vertical="center" wrapText="1" indent="2"/>
    </xf>
    <xf numFmtId="1" fontId="34" fillId="20" borderId="1" xfId="3437" quotePrefix="1" applyNumberFormat="1" applyFont="1" applyFill="1" applyBorder="1" applyAlignment="1" applyProtection="1">
      <alignment horizontal="left" vertical="center"/>
    </xf>
    <xf numFmtId="1" fontId="32" fillId="20" borderId="1" xfId="3437" applyNumberFormat="1" applyFont="1" applyFill="1" applyBorder="1" applyAlignment="1" applyProtection="1">
      <alignment horizontal="left" vertical="center" wrapText="1" indent="2"/>
    </xf>
    <xf numFmtId="1" fontId="34" fillId="20" borderId="1" xfId="3437" applyNumberFormat="1" applyFont="1" applyFill="1" applyBorder="1" applyAlignment="1">
      <alignment vertical="center"/>
    </xf>
    <xf numFmtId="1" fontId="32" fillId="48" borderId="0" xfId="1925" applyNumberFormat="1" applyFont="1" applyFill="1" applyAlignment="1"/>
    <xf numFmtId="1" fontId="84" fillId="48" borderId="0" xfId="1925" applyNumberFormat="1" applyFont="1" applyFill="1" applyAlignment="1">
      <alignment horizontal="right"/>
    </xf>
    <xf numFmtId="1" fontId="34" fillId="20" borderId="1" xfId="3437" quotePrefix="1" applyNumberFormat="1" applyFont="1" applyFill="1" applyBorder="1" applyAlignment="1">
      <alignment horizontal="left" vertical="center"/>
    </xf>
    <xf numFmtId="1" fontId="32" fillId="20" borderId="1" xfId="3437" applyNumberFormat="1" applyFont="1" applyFill="1" applyBorder="1" applyAlignment="1">
      <alignment vertical="center"/>
    </xf>
    <xf numFmtId="1" fontId="34" fillId="20" borderId="1" xfId="3437" applyNumberFormat="1" applyFont="1" applyFill="1" applyBorder="1" applyAlignment="1" applyProtection="1">
      <alignment horizontal="left" vertical="center"/>
    </xf>
    <xf numFmtId="1" fontId="34" fillId="20" borderId="21" xfId="3437" applyNumberFormat="1" applyFont="1" applyFill="1" applyBorder="1" applyAlignment="1" applyProtection="1">
      <alignment horizontal="left" vertical="center"/>
    </xf>
    <xf numFmtId="1" fontId="34" fillId="20" borderId="1" xfId="1925" applyNumberFormat="1" applyFont="1" applyFill="1" applyBorder="1" applyAlignment="1"/>
    <xf numFmtId="0" fontId="0" fillId="0" borderId="34" xfId="0" applyBorder="1"/>
    <xf numFmtId="0" fontId="0" fillId="0" borderId="31" xfId="0" applyNumberFormat="1" applyBorder="1"/>
    <xf numFmtId="0" fontId="0" fillId="0" borderId="35" xfId="0" applyBorder="1"/>
    <xf numFmtId="0" fontId="0" fillId="0" borderId="36" xfId="0" applyBorder="1"/>
    <xf numFmtId="0" fontId="0" fillId="0" borderId="37" xfId="0" pivotButton="1" applyBorder="1"/>
    <xf numFmtId="0" fontId="0" fillId="0" borderId="36" xfId="0" applyNumberFormat="1" applyBorder="1"/>
    <xf numFmtId="0" fontId="0" fillId="0" borderId="37" xfId="0" applyNumberFormat="1" applyBorder="1"/>
    <xf numFmtId="0" fontId="0" fillId="0" borderId="38" xfId="0" applyBorder="1"/>
    <xf numFmtId="0" fontId="0" fillId="0" borderId="39" xfId="0" applyBorder="1"/>
    <xf numFmtId="0" fontId="0" fillId="0" borderId="40" xfId="0" applyNumberFormat="1" applyBorder="1"/>
    <xf numFmtId="0" fontId="0" fillId="0" borderId="37" xfId="0" applyBorder="1"/>
    <xf numFmtId="0" fontId="0" fillId="0" borderId="41" xfId="0" applyBorder="1"/>
    <xf numFmtId="0" fontId="0" fillId="0" borderId="42" xfId="0" applyBorder="1"/>
    <xf numFmtId="0" fontId="0" fillId="0" borderId="43" xfId="0" applyNumberFormat="1" applyBorder="1"/>
    <xf numFmtId="9" fontId="0" fillId="0" borderId="0" xfId="0" applyNumberFormat="1" applyAlignment="1">
      <alignment horizontal="right"/>
    </xf>
    <xf numFmtId="0" fontId="0" fillId="0" borderId="35" xfId="0" applyNumberFormat="1" applyBorder="1"/>
    <xf numFmtId="0" fontId="0" fillId="0" borderId="0" xfId="0" applyNumberFormat="1"/>
    <xf numFmtId="0" fontId="1" fillId="49" borderId="31" xfId="2310" applyFont="1" applyFill="1" applyBorder="1" applyAlignment="1">
      <alignment horizontal="center"/>
    </xf>
    <xf numFmtId="0" fontId="0" fillId="0" borderId="41" xfId="0" applyNumberFormat="1" applyBorder="1"/>
    <xf numFmtId="0" fontId="0" fillId="84" borderId="0" xfId="0" applyFill="1"/>
    <xf numFmtId="0" fontId="0" fillId="0" borderId="39" xfId="0" applyNumberFormat="1" applyBorder="1"/>
    <xf numFmtId="0" fontId="107" fillId="84" borderId="0" xfId="0" applyFont="1" applyFill="1"/>
    <xf numFmtId="0" fontId="0" fillId="0" borderId="31" xfId="0" pivotButton="1" applyBorder="1"/>
    <xf numFmtId="9" fontId="86" fillId="81" borderId="0" xfId="2516" applyFont="1" applyFill="1"/>
    <xf numFmtId="0" fontId="0" fillId="0" borderId="31" xfId="0" applyBorder="1"/>
    <xf numFmtId="1" fontId="1" fillId="0" borderId="19" xfId="2310" applyNumberFormat="1" applyFont="1" applyFill="1" applyBorder="1" applyAlignment="1"/>
    <xf numFmtId="0" fontId="97" fillId="84" borderId="0" xfId="1753" applyFill="1"/>
    <xf numFmtId="0" fontId="0" fillId="0" borderId="0" xfId="0"/>
    <xf numFmtId="0" fontId="97" fillId="0" borderId="0" xfId="1753"/>
    <xf numFmtId="186" fontId="0" fillId="0" borderId="0" xfId="0" applyNumberFormat="1"/>
    <xf numFmtId="0" fontId="0" fillId="0" borderId="44" xfId="0" applyBorder="1"/>
    <xf numFmtId="0" fontId="1" fillId="0" borderId="19" xfId="2313" applyFont="1" applyFill="1" applyBorder="1" applyAlignment="1"/>
    <xf numFmtId="0" fontId="1" fillId="0" borderId="19" xfId="2313" applyFont="1" applyFill="1" applyBorder="1" applyAlignment="1">
      <alignment horizontal="right"/>
    </xf>
    <xf numFmtId="1" fontId="86" fillId="0" borderId="0" xfId="2516" applyNumberFormat="1" applyFont="1"/>
    <xf numFmtId="0" fontId="105" fillId="0" borderId="0" xfId="0" applyFont="1" applyAlignment="1">
      <alignment horizontal="right"/>
    </xf>
    <xf numFmtId="0" fontId="1" fillId="49" borderId="31" xfId="2311" applyFont="1" applyFill="1" applyBorder="1" applyAlignment="1">
      <alignment horizontal="center"/>
    </xf>
    <xf numFmtId="0" fontId="1" fillId="0" borderId="19" xfId="2311" applyFont="1" applyFill="1" applyBorder="1" applyAlignment="1"/>
    <xf numFmtId="1" fontId="1" fillId="0" borderId="19" xfId="2311" applyNumberFormat="1" applyFont="1" applyFill="1" applyBorder="1" applyAlignment="1">
      <alignment horizontal="right"/>
    </xf>
    <xf numFmtId="0" fontId="1" fillId="49" borderId="40" xfId="2311" applyFont="1" applyFill="1" applyBorder="1" applyAlignment="1">
      <alignment horizontal="center"/>
    </xf>
    <xf numFmtId="1" fontId="0" fillId="0" borderId="37" xfId="0" applyNumberFormat="1" applyBorder="1"/>
    <xf numFmtId="1" fontId="0" fillId="0" borderId="39" xfId="0" applyNumberFormat="1" applyBorder="1"/>
    <xf numFmtId="1" fontId="0" fillId="0" borderId="41" xfId="0" applyNumberFormat="1" applyBorder="1"/>
    <xf numFmtId="1" fontId="0" fillId="0" borderId="35" xfId="0" applyNumberFormat="1" applyBorder="1"/>
    <xf numFmtId="1" fontId="0" fillId="0" borderId="43" xfId="0" applyNumberFormat="1" applyBorder="1"/>
    <xf numFmtId="1" fontId="0" fillId="0" borderId="31" xfId="0" applyNumberFormat="1" applyBorder="1"/>
    <xf numFmtId="186" fontId="0" fillId="0" borderId="36" xfId="0" applyNumberFormat="1" applyBorder="1"/>
    <xf numFmtId="186" fontId="0" fillId="0" borderId="40" xfId="0" applyNumberFormat="1" applyBorder="1"/>
    <xf numFmtId="2" fontId="0" fillId="0" borderId="36" xfId="0" applyNumberFormat="1" applyBorder="1"/>
    <xf numFmtId="2" fontId="0" fillId="0" borderId="40" xfId="0" applyNumberFormat="1" applyBorder="1"/>
    <xf numFmtId="0" fontId="0" fillId="84" borderId="0" xfId="0" applyFill="1" applyAlignment="1">
      <alignment horizontal="right"/>
    </xf>
    <xf numFmtId="0" fontId="0" fillId="81" borderId="0" xfId="0" applyFill="1"/>
    <xf numFmtId="1" fontId="6" fillId="0" borderId="0" xfId="2189" applyNumberFormat="1"/>
    <xf numFmtId="1" fontId="0" fillId="81" borderId="0" xfId="0" applyNumberFormat="1" applyFill="1"/>
    <xf numFmtId="0" fontId="65" fillId="0" borderId="0" xfId="2307" applyFont="1" applyFill="1" applyBorder="1" applyAlignment="1">
      <alignment horizontal="left" indent="1"/>
    </xf>
    <xf numFmtId="1" fontId="65" fillId="0" borderId="0" xfId="2307" applyNumberFormat="1" applyFill="1" applyBorder="1" applyAlignment="1"/>
    <xf numFmtId="2" fontId="65" fillId="0" borderId="0" xfId="2307" applyNumberFormat="1" applyFill="1" applyBorder="1" applyAlignment="1"/>
    <xf numFmtId="9" fontId="86" fillId="0" borderId="0" xfId="2517" applyFont="1"/>
    <xf numFmtId="1" fontId="0" fillId="85" borderId="0" xfId="0" applyNumberFormat="1" applyFill="1"/>
    <xf numFmtId="0" fontId="1" fillId="49" borderId="31" xfId="2306" applyFont="1" applyFill="1" applyBorder="1" applyAlignment="1">
      <alignment horizontal="center"/>
    </xf>
    <xf numFmtId="0" fontId="1" fillId="0" borderId="19" xfId="2306" applyFont="1" applyFill="1" applyBorder="1" applyAlignment="1"/>
    <xf numFmtId="0" fontId="1" fillId="0" borderId="19" xfId="2306" applyFont="1" applyFill="1" applyBorder="1" applyAlignment="1">
      <alignment horizontal="right"/>
    </xf>
    <xf numFmtId="10" fontId="86" fillId="0" borderId="0" xfId="2516" applyNumberFormat="1" applyFont="1"/>
    <xf numFmtId="0" fontId="1" fillId="49" borderId="31" xfId="2309" applyFont="1" applyFill="1" applyBorder="1" applyAlignment="1">
      <alignment horizontal="center"/>
    </xf>
    <xf numFmtId="0" fontId="1" fillId="0" borderId="19" xfId="2309" applyFont="1" applyFill="1" applyBorder="1" applyAlignment="1"/>
    <xf numFmtId="186" fontId="1" fillId="0" borderId="19" xfId="2309" applyNumberFormat="1" applyFont="1" applyFill="1" applyBorder="1" applyAlignment="1">
      <alignment horizontal="right"/>
    </xf>
    <xf numFmtId="186" fontId="0" fillId="0" borderId="37" xfId="0" applyNumberFormat="1" applyBorder="1"/>
    <xf numFmtId="186" fontId="0" fillId="0" borderId="39" xfId="0" applyNumberFormat="1" applyBorder="1"/>
    <xf numFmtId="186" fontId="0" fillId="0" borderId="41" xfId="0" applyNumberFormat="1" applyBorder="1"/>
    <xf numFmtId="186" fontId="0" fillId="0" borderId="35" xfId="0" applyNumberFormat="1" applyBorder="1"/>
    <xf numFmtId="186" fontId="0" fillId="0" borderId="43" xfId="0" applyNumberFormat="1" applyBorder="1"/>
    <xf numFmtId="186" fontId="0" fillId="0" borderId="31" xfId="0" applyNumberFormat="1" applyBorder="1"/>
    <xf numFmtId="0" fontId="6" fillId="0" borderId="0" xfId="2188" applyFont="1"/>
    <xf numFmtId="2" fontId="1" fillId="49" borderId="31" xfId="2312" applyNumberFormat="1" applyFont="1" applyFill="1" applyBorder="1" applyAlignment="1">
      <alignment horizontal="center"/>
    </xf>
    <xf numFmtId="2" fontId="1" fillId="0" borderId="19" xfId="2312" applyNumberFormat="1" applyFont="1" applyFill="1" applyBorder="1" applyAlignment="1"/>
    <xf numFmtId="1" fontId="1" fillId="0" borderId="19" xfId="2312" applyNumberFormat="1" applyFont="1" applyFill="1" applyBorder="1" applyAlignment="1">
      <alignment horizontal="right"/>
    </xf>
    <xf numFmtId="1" fontId="2" fillId="0" borderId="19" xfId="2312" applyNumberFormat="1" applyFont="1" applyFill="1" applyBorder="1" applyAlignment="1">
      <alignment horizontal="right"/>
    </xf>
    <xf numFmtId="1" fontId="108" fillId="0" borderId="19" xfId="2312" applyNumberFormat="1" applyFont="1" applyFill="1" applyBorder="1" applyAlignment="1">
      <alignment horizontal="right"/>
    </xf>
    <xf numFmtId="1" fontId="1" fillId="81" borderId="19" xfId="2312" applyNumberFormat="1" applyFont="1" applyFill="1" applyBorder="1" applyAlignment="1">
      <alignment horizontal="right"/>
    </xf>
    <xf numFmtId="0" fontId="23" fillId="0" borderId="0" xfId="0" applyFont="1" applyAlignment="1">
      <alignment horizontal="center" vertical="center" wrapText="1"/>
    </xf>
    <xf numFmtId="0" fontId="66" fillId="0" borderId="27" xfId="2307" applyFont="1" applyBorder="1" applyAlignment="1">
      <alignment horizontal="center"/>
    </xf>
    <xf numFmtId="0" fontId="85" fillId="48" borderId="0" xfId="3437" applyFont="1" applyFill="1" applyBorder="1" applyAlignment="1">
      <alignment horizontal="left" vertical="top" wrapText="1"/>
    </xf>
    <xf numFmtId="0" fontId="85" fillId="48" borderId="0" xfId="3437" applyFont="1" applyFill="1" applyAlignment="1">
      <alignment horizontal="left" vertical="top" wrapText="1"/>
    </xf>
    <xf numFmtId="0" fontId="31" fillId="48" borderId="0" xfId="1752" applyFont="1" applyFill="1" applyAlignment="1">
      <alignment horizontal="left" vertical="center"/>
    </xf>
    <xf numFmtId="2" fontId="34" fillId="20" borderId="45" xfId="3437" applyNumberFormat="1" applyFont="1" applyFill="1" applyBorder="1" applyAlignment="1" applyProtection="1">
      <alignment horizontal="center" vertical="center"/>
    </xf>
    <xf numFmtId="2" fontId="34" fillId="20" borderId="46" xfId="3437" applyNumberFormat="1" applyFont="1" applyFill="1" applyBorder="1" applyAlignment="1" applyProtection="1">
      <alignment horizontal="center" vertical="center"/>
    </xf>
    <xf numFmtId="2" fontId="34" fillId="20" borderId="47" xfId="3437" applyNumberFormat="1" applyFont="1" applyFill="1" applyBorder="1" applyAlignment="1" applyProtection="1">
      <alignment horizontal="center" vertical="center"/>
    </xf>
    <xf numFmtId="1" fontId="34" fillId="20" borderId="1" xfId="3437" applyNumberFormat="1" applyFont="1" applyFill="1" applyBorder="1" applyAlignment="1">
      <alignment horizontal="right" vertical="center"/>
    </xf>
    <xf numFmtId="1" fontId="32" fillId="86" borderId="1" xfId="0" applyNumberFormat="1" applyFont="1" applyFill="1" applyBorder="1" applyAlignment="1">
      <alignment horizontal="right"/>
    </xf>
    <xf numFmtId="1" fontId="34" fillId="20" borderId="1" xfId="3437" applyNumberFormat="1" applyFont="1" applyFill="1" applyBorder="1" applyAlignment="1">
      <alignment horizontal="right" vertical="center" wrapText="1"/>
    </xf>
  </cellXfs>
  <cellStyles count="3439">
    <cellStyle name="???????" xfId="1"/>
    <cellStyle name="20% - Accent1" xfId="2" builtinId="30" customBuiltin="1"/>
    <cellStyle name="20% - Accent1 10" xfId="3"/>
    <cellStyle name="20% - Accent1 11" xfId="4"/>
    <cellStyle name="20% - Accent1 12" xfId="5"/>
    <cellStyle name="20% - Accent1 13" xfId="6"/>
    <cellStyle name="20% - Accent1 14" xfId="7"/>
    <cellStyle name="20% - Accent1 15" xfId="8"/>
    <cellStyle name="20% - Accent1 16" xfId="9"/>
    <cellStyle name="20% - Accent1 17" xfId="10"/>
    <cellStyle name="20% - Accent1 18" xfId="11"/>
    <cellStyle name="20% - Accent1 19" xfId="12"/>
    <cellStyle name="20% - Accent1 2" xfId="13"/>
    <cellStyle name="20% - Accent1 2 2" xfId="14"/>
    <cellStyle name="20% - Accent1 20" xfId="15"/>
    <cellStyle name="20% - Accent1 21" xfId="16"/>
    <cellStyle name="20% - Accent1 22" xfId="17"/>
    <cellStyle name="20% - Accent1 23" xfId="18"/>
    <cellStyle name="20% - Accent1 24" xfId="19"/>
    <cellStyle name="20% - Accent1 25" xfId="20"/>
    <cellStyle name="20% - Accent1 26" xfId="21"/>
    <cellStyle name="20% - Accent1 27" xfId="22"/>
    <cellStyle name="20% - Accent1 28" xfId="23"/>
    <cellStyle name="20% - Accent1 29" xfId="24"/>
    <cellStyle name="20% - Accent1 3" xfId="25"/>
    <cellStyle name="20% - Accent1 3 2" xfId="26"/>
    <cellStyle name="20% - Accent1 30" xfId="27"/>
    <cellStyle name="20% - Accent1 31" xfId="28"/>
    <cellStyle name="20% - Accent1 32" xfId="29"/>
    <cellStyle name="20% - Accent1 33" xfId="30"/>
    <cellStyle name="20% - Accent1 34" xfId="31"/>
    <cellStyle name="20% - Accent1 35" xfId="32"/>
    <cellStyle name="20% - Accent1 36" xfId="33"/>
    <cellStyle name="20% - Accent1 37" xfId="34"/>
    <cellStyle name="20% - Accent1 38" xfId="35"/>
    <cellStyle name="20% - Accent1 39" xfId="36"/>
    <cellStyle name="20% - Accent1 4" xfId="37"/>
    <cellStyle name="20% - Accent1 40" xfId="38"/>
    <cellStyle name="20% - Accent1 41" xfId="39"/>
    <cellStyle name="20% - Accent1 42" xfId="40"/>
    <cellStyle name="20% - Accent1 43" xfId="41"/>
    <cellStyle name="20% - Accent1 5" xfId="42"/>
    <cellStyle name="20% - Accent1 6" xfId="43"/>
    <cellStyle name="20% - Accent1 7" xfId="44"/>
    <cellStyle name="20% - Accent1 8" xfId="45"/>
    <cellStyle name="20% - Accent1 9" xfId="46"/>
    <cellStyle name="20% - Accent2" xfId="47" builtinId="34" customBuiltin="1"/>
    <cellStyle name="20% - Accent2 10" xfId="48"/>
    <cellStyle name="20% - Accent2 11" xfId="49"/>
    <cellStyle name="20% - Accent2 12" xfId="50"/>
    <cellStyle name="20% - Accent2 13" xfId="51"/>
    <cellStyle name="20% - Accent2 14" xfId="52"/>
    <cellStyle name="20% - Accent2 15" xfId="53"/>
    <cellStyle name="20% - Accent2 16" xfId="54"/>
    <cellStyle name="20% - Accent2 17" xfId="55"/>
    <cellStyle name="20% - Accent2 18" xfId="56"/>
    <cellStyle name="20% - Accent2 19" xfId="57"/>
    <cellStyle name="20% - Accent2 2" xfId="58"/>
    <cellStyle name="20% - Accent2 2 2" xfId="59"/>
    <cellStyle name="20% - Accent2 20" xfId="60"/>
    <cellStyle name="20% - Accent2 21" xfId="61"/>
    <cellStyle name="20% - Accent2 22" xfId="62"/>
    <cellStyle name="20% - Accent2 23" xfId="63"/>
    <cellStyle name="20% - Accent2 24" xfId="64"/>
    <cellStyle name="20% - Accent2 25" xfId="65"/>
    <cellStyle name="20% - Accent2 26" xfId="66"/>
    <cellStyle name="20% - Accent2 27" xfId="67"/>
    <cellStyle name="20% - Accent2 28" xfId="68"/>
    <cellStyle name="20% - Accent2 29" xfId="69"/>
    <cellStyle name="20% - Accent2 3" xfId="70"/>
    <cellStyle name="20% - Accent2 3 2" xfId="71"/>
    <cellStyle name="20% - Accent2 30" xfId="72"/>
    <cellStyle name="20% - Accent2 31" xfId="73"/>
    <cellStyle name="20% - Accent2 32" xfId="74"/>
    <cellStyle name="20% - Accent2 33" xfId="75"/>
    <cellStyle name="20% - Accent2 34" xfId="76"/>
    <cellStyle name="20% - Accent2 35" xfId="77"/>
    <cellStyle name="20% - Accent2 36" xfId="78"/>
    <cellStyle name="20% - Accent2 37" xfId="79"/>
    <cellStyle name="20% - Accent2 38" xfId="80"/>
    <cellStyle name="20% - Accent2 39" xfId="81"/>
    <cellStyle name="20% - Accent2 4" xfId="82"/>
    <cellStyle name="20% - Accent2 40" xfId="83"/>
    <cellStyle name="20% - Accent2 41" xfId="84"/>
    <cellStyle name="20% - Accent2 42" xfId="85"/>
    <cellStyle name="20% - Accent2 43" xfId="86"/>
    <cellStyle name="20% - Accent2 5" xfId="87"/>
    <cellStyle name="20% - Accent2 6" xfId="88"/>
    <cellStyle name="20% - Accent2 7" xfId="89"/>
    <cellStyle name="20% - Accent2 8" xfId="90"/>
    <cellStyle name="20% - Accent2 9" xfId="91"/>
    <cellStyle name="20% - Accent3" xfId="92" builtinId="38" customBuiltin="1"/>
    <cellStyle name="20% - Accent3 10" xfId="93"/>
    <cellStyle name="20% - Accent3 11" xfId="94"/>
    <cellStyle name="20% - Accent3 12" xfId="95"/>
    <cellStyle name="20% - Accent3 13" xfId="96"/>
    <cellStyle name="20% - Accent3 14" xfId="97"/>
    <cellStyle name="20% - Accent3 15" xfId="98"/>
    <cellStyle name="20% - Accent3 16" xfId="99"/>
    <cellStyle name="20% - Accent3 17" xfId="100"/>
    <cellStyle name="20% - Accent3 18" xfId="101"/>
    <cellStyle name="20% - Accent3 19" xfId="102"/>
    <cellStyle name="20% - Accent3 2" xfId="103"/>
    <cellStyle name="20% - Accent3 2 2" xfId="104"/>
    <cellStyle name="20% - Accent3 20" xfId="105"/>
    <cellStyle name="20% - Accent3 21" xfId="106"/>
    <cellStyle name="20% - Accent3 22" xfId="107"/>
    <cellStyle name="20% - Accent3 23" xfId="108"/>
    <cellStyle name="20% - Accent3 24" xfId="109"/>
    <cellStyle name="20% - Accent3 25" xfId="110"/>
    <cellStyle name="20% - Accent3 26" xfId="111"/>
    <cellStyle name="20% - Accent3 27" xfId="112"/>
    <cellStyle name="20% - Accent3 28" xfId="113"/>
    <cellStyle name="20% - Accent3 29" xfId="114"/>
    <cellStyle name="20% - Accent3 3" xfId="115"/>
    <cellStyle name="20% - Accent3 3 2" xfId="116"/>
    <cellStyle name="20% - Accent3 30" xfId="117"/>
    <cellStyle name="20% - Accent3 31" xfId="118"/>
    <cellStyle name="20% - Accent3 32" xfId="119"/>
    <cellStyle name="20% - Accent3 33" xfId="120"/>
    <cellStyle name="20% - Accent3 34" xfId="121"/>
    <cellStyle name="20% - Accent3 35" xfId="122"/>
    <cellStyle name="20% - Accent3 36" xfId="123"/>
    <cellStyle name="20% - Accent3 37" xfId="124"/>
    <cellStyle name="20% - Accent3 38" xfId="125"/>
    <cellStyle name="20% - Accent3 39" xfId="126"/>
    <cellStyle name="20% - Accent3 4" xfId="127"/>
    <cellStyle name="20% - Accent3 40" xfId="128"/>
    <cellStyle name="20% - Accent3 41" xfId="129"/>
    <cellStyle name="20% - Accent3 42" xfId="130"/>
    <cellStyle name="20% - Accent3 43" xfId="131"/>
    <cellStyle name="20% - Accent3 5" xfId="132"/>
    <cellStyle name="20% - Accent3 6" xfId="133"/>
    <cellStyle name="20% - Accent3 7" xfId="134"/>
    <cellStyle name="20% - Accent3 8" xfId="135"/>
    <cellStyle name="20% - Accent3 9" xfId="136"/>
    <cellStyle name="20% - Accent4" xfId="137" builtinId="42" customBuiltin="1"/>
    <cellStyle name="20% - Accent4 10" xfId="138"/>
    <cellStyle name="20% - Accent4 11" xfId="139"/>
    <cellStyle name="20% - Accent4 12" xfId="140"/>
    <cellStyle name="20% - Accent4 13" xfId="141"/>
    <cellStyle name="20% - Accent4 14" xfId="142"/>
    <cellStyle name="20% - Accent4 15" xfId="143"/>
    <cellStyle name="20% - Accent4 16" xfId="144"/>
    <cellStyle name="20% - Accent4 17" xfId="145"/>
    <cellStyle name="20% - Accent4 18" xfId="146"/>
    <cellStyle name="20% - Accent4 19" xfId="147"/>
    <cellStyle name="20% - Accent4 2" xfId="148"/>
    <cellStyle name="20% - Accent4 2 2" xfId="149"/>
    <cellStyle name="20% - Accent4 20" xfId="150"/>
    <cellStyle name="20% - Accent4 21" xfId="151"/>
    <cellStyle name="20% - Accent4 22" xfId="152"/>
    <cellStyle name="20% - Accent4 23" xfId="153"/>
    <cellStyle name="20% - Accent4 24" xfId="154"/>
    <cellStyle name="20% - Accent4 25" xfId="155"/>
    <cellStyle name="20% - Accent4 26" xfId="156"/>
    <cellStyle name="20% - Accent4 27" xfId="157"/>
    <cellStyle name="20% - Accent4 28" xfId="158"/>
    <cellStyle name="20% - Accent4 29" xfId="159"/>
    <cellStyle name="20% - Accent4 3" xfId="160"/>
    <cellStyle name="20% - Accent4 3 2" xfId="161"/>
    <cellStyle name="20% - Accent4 30" xfId="162"/>
    <cellStyle name="20% - Accent4 31" xfId="163"/>
    <cellStyle name="20% - Accent4 32" xfId="164"/>
    <cellStyle name="20% - Accent4 33" xfId="165"/>
    <cellStyle name="20% - Accent4 34" xfId="166"/>
    <cellStyle name="20% - Accent4 35" xfId="167"/>
    <cellStyle name="20% - Accent4 36" xfId="168"/>
    <cellStyle name="20% - Accent4 37" xfId="169"/>
    <cellStyle name="20% - Accent4 38" xfId="170"/>
    <cellStyle name="20% - Accent4 39" xfId="171"/>
    <cellStyle name="20% - Accent4 4" xfId="172"/>
    <cellStyle name="20% - Accent4 40" xfId="173"/>
    <cellStyle name="20% - Accent4 41" xfId="174"/>
    <cellStyle name="20% - Accent4 42" xfId="175"/>
    <cellStyle name="20% - Accent4 43" xfId="176"/>
    <cellStyle name="20% - Accent4 5" xfId="177"/>
    <cellStyle name="20% - Accent4 6" xfId="178"/>
    <cellStyle name="20% - Accent4 7" xfId="179"/>
    <cellStyle name="20% - Accent4 8" xfId="180"/>
    <cellStyle name="20% - Accent4 9" xfId="181"/>
    <cellStyle name="20% - Accent5" xfId="182" builtinId="46" customBuiltin="1"/>
    <cellStyle name="20% - Accent5 10" xfId="183"/>
    <cellStyle name="20% - Accent5 11" xfId="184"/>
    <cellStyle name="20% - Accent5 12" xfId="185"/>
    <cellStyle name="20% - Accent5 13" xfId="186"/>
    <cellStyle name="20% - Accent5 14" xfId="187"/>
    <cellStyle name="20% - Accent5 15" xfId="188"/>
    <cellStyle name="20% - Accent5 16" xfId="189"/>
    <cellStyle name="20% - Accent5 17" xfId="190"/>
    <cellStyle name="20% - Accent5 18" xfId="191"/>
    <cellStyle name="20% - Accent5 19" xfId="192"/>
    <cellStyle name="20% - Accent5 2" xfId="193"/>
    <cellStyle name="20% - Accent5 2 2" xfId="194"/>
    <cellStyle name="20% - Accent5 20" xfId="195"/>
    <cellStyle name="20% - Accent5 21" xfId="196"/>
    <cellStyle name="20% - Accent5 22" xfId="197"/>
    <cellStyle name="20% - Accent5 23" xfId="198"/>
    <cellStyle name="20% - Accent5 24" xfId="199"/>
    <cellStyle name="20% - Accent5 25" xfId="200"/>
    <cellStyle name="20% - Accent5 26" xfId="201"/>
    <cellStyle name="20% - Accent5 27" xfId="202"/>
    <cellStyle name="20% - Accent5 28" xfId="203"/>
    <cellStyle name="20% - Accent5 29" xfId="204"/>
    <cellStyle name="20% - Accent5 3" xfId="205"/>
    <cellStyle name="20% - Accent5 3 2" xfId="206"/>
    <cellStyle name="20% - Accent5 30" xfId="207"/>
    <cellStyle name="20% - Accent5 31" xfId="208"/>
    <cellStyle name="20% - Accent5 32" xfId="209"/>
    <cellStyle name="20% - Accent5 33" xfId="210"/>
    <cellStyle name="20% - Accent5 34" xfId="211"/>
    <cellStyle name="20% - Accent5 35" xfId="212"/>
    <cellStyle name="20% - Accent5 36" xfId="213"/>
    <cellStyle name="20% - Accent5 37" xfId="214"/>
    <cellStyle name="20% - Accent5 38" xfId="215"/>
    <cellStyle name="20% - Accent5 39" xfId="216"/>
    <cellStyle name="20% - Accent5 4" xfId="217"/>
    <cellStyle name="20% - Accent5 40" xfId="218"/>
    <cellStyle name="20% - Accent5 41" xfId="219"/>
    <cellStyle name="20% - Accent5 42" xfId="220"/>
    <cellStyle name="20% - Accent5 43" xfId="221"/>
    <cellStyle name="20% - Accent5 5" xfId="222"/>
    <cellStyle name="20% - Accent5 6" xfId="223"/>
    <cellStyle name="20% - Accent5 7" xfId="224"/>
    <cellStyle name="20% - Accent5 8" xfId="225"/>
    <cellStyle name="20% - Accent5 9" xfId="226"/>
    <cellStyle name="20% - Accent6" xfId="227" builtinId="50" customBuiltin="1"/>
    <cellStyle name="20% - Accent6 10" xfId="228"/>
    <cellStyle name="20% - Accent6 11" xfId="229"/>
    <cellStyle name="20% - Accent6 12" xfId="230"/>
    <cellStyle name="20% - Accent6 13" xfId="231"/>
    <cellStyle name="20% - Accent6 14" xfId="232"/>
    <cellStyle name="20% - Accent6 15" xfId="233"/>
    <cellStyle name="20% - Accent6 16" xfId="234"/>
    <cellStyle name="20% - Accent6 17" xfId="235"/>
    <cellStyle name="20% - Accent6 18" xfId="236"/>
    <cellStyle name="20% - Accent6 19" xfId="237"/>
    <cellStyle name="20% - Accent6 2" xfId="238"/>
    <cellStyle name="20% - Accent6 2 2" xfId="239"/>
    <cellStyle name="20% - Accent6 20" xfId="240"/>
    <cellStyle name="20% - Accent6 21" xfId="241"/>
    <cellStyle name="20% - Accent6 22" xfId="242"/>
    <cellStyle name="20% - Accent6 23" xfId="243"/>
    <cellStyle name="20% - Accent6 24" xfId="244"/>
    <cellStyle name="20% - Accent6 25" xfId="245"/>
    <cellStyle name="20% - Accent6 26" xfId="246"/>
    <cellStyle name="20% - Accent6 27" xfId="247"/>
    <cellStyle name="20% - Accent6 28" xfId="248"/>
    <cellStyle name="20% - Accent6 29" xfId="249"/>
    <cellStyle name="20% - Accent6 3" xfId="250"/>
    <cellStyle name="20% - Accent6 3 2" xfId="251"/>
    <cellStyle name="20% - Accent6 30" xfId="252"/>
    <cellStyle name="20% - Accent6 31" xfId="253"/>
    <cellStyle name="20% - Accent6 32" xfId="254"/>
    <cellStyle name="20% - Accent6 33" xfId="255"/>
    <cellStyle name="20% - Accent6 34" xfId="256"/>
    <cellStyle name="20% - Accent6 35" xfId="257"/>
    <cellStyle name="20% - Accent6 36" xfId="258"/>
    <cellStyle name="20% - Accent6 37" xfId="259"/>
    <cellStyle name="20% - Accent6 38" xfId="260"/>
    <cellStyle name="20% - Accent6 39" xfId="261"/>
    <cellStyle name="20% - Accent6 4" xfId="262"/>
    <cellStyle name="20% - Accent6 40" xfId="263"/>
    <cellStyle name="20% - Accent6 41" xfId="264"/>
    <cellStyle name="20% - Accent6 42" xfId="265"/>
    <cellStyle name="20% - Accent6 43" xfId="266"/>
    <cellStyle name="20% - Accent6 44" xfId="267"/>
    <cellStyle name="20% - Accent6 5" xfId="268"/>
    <cellStyle name="20% - Accent6 6" xfId="269"/>
    <cellStyle name="20% - Accent6 7" xfId="270"/>
    <cellStyle name="20% - Accent6 8" xfId="271"/>
    <cellStyle name="20% - Accent6 9" xfId="272"/>
    <cellStyle name="20% - Akzent1" xfId="273"/>
    <cellStyle name="20% - Akzent2" xfId="274"/>
    <cellStyle name="20% - Akzent3" xfId="275"/>
    <cellStyle name="20% - Akzent4" xfId="276"/>
    <cellStyle name="20% - Akzent5" xfId="277"/>
    <cellStyle name="20% - Akzent6" xfId="278"/>
    <cellStyle name="2x indented GHG Textfiels" xfId="279"/>
    <cellStyle name="2x indented GHG Textfiels 2" xfId="280"/>
    <cellStyle name="40% - Accent1" xfId="281" builtinId="31" customBuiltin="1"/>
    <cellStyle name="40% - Accent1 10" xfId="282"/>
    <cellStyle name="40% - Accent1 11" xfId="283"/>
    <cellStyle name="40% - Accent1 12" xfId="284"/>
    <cellStyle name="40% - Accent1 13" xfId="285"/>
    <cellStyle name="40% - Accent1 14" xfId="286"/>
    <cellStyle name="40% - Accent1 15" xfId="287"/>
    <cellStyle name="40% - Accent1 16" xfId="288"/>
    <cellStyle name="40% - Accent1 17" xfId="289"/>
    <cellStyle name="40% - Accent1 18" xfId="290"/>
    <cellStyle name="40% - Accent1 19" xfId="291"/>
    <cellStyle name="40% - Accent1 2" xfId="292"/>
    <cellStyle name="40% - Accent1 2 2" xfId="293"/>
    <cellStyle name="40% - Accent1 20" xfId="294"/>
    <cellStyle name="40% - Accent1 21" xfId="295"/>
    <cellStyle name="40% - Accent1 22" xfId="296"/>
    <cellStyle name="40% - Accent1 23" xfId="297"/>
    <cellStyle name="40% - Accent1 24" xfId="298"/>
    <cellStyle name="40% - Accent1 25" xfId="299"/>
    <cellStyle name="40% - Accent1 26" xfId="300"/>
    <cellStyle name="40% - Accent1 27" xfId="301"/>
    <cellStyle name="40% - Accent1 28" xfId="302"/>
    <cellStyle name="40% - Accent1 29" xfId="303"/>
    <cellStyle name="40% - Accent1 3" xfId="304"/>
    <cellStyle name="40% - Accent1 3 2" xfId="305"/>
    <cellStyle name="40% - Accent1 30" xfId="306"/>
    <cellStyle name="40% - Accent1 31" xfId="307"/>
    <cellStyle name="40% - Accent1 32" xfId="308"/>
    <cellStyle name="40% - Accent1 33" xfId="309"/>
    <cellStyle name="40% - Accent1 34" xfId="310"/>
    <cellStyle name="40% - Accent1 35" xfId="311"/>
    <cellStyle name="40% - Accent1 36" xfId="312"/>
    <cellStyle name="40% - Accent1 37" xfId="313"/>
    <cellStyle name="40% - Accent1 38" xfId="314"/>
    <cellStyle name="40% - Accent1 39" xfId="315"/>
    <cellStyle name="40% - Accent1 4" xfId="316"/>
    <cellStyle name="40% - Accent1 40" xfId="317"/>
    <cellStyle name="40% - Accent1 41" xfId="318"/>
    <cellStyle name="40% - Accent1 42" xfId="319"/>
    <cellStyle name="40% - Accent1 43" xfId="320"/>
    <cellStyle name="40% - Accent1 5" xfId="321"/>
    <cellStyle name="40% - Accent1 6" xfId="322"/>
    <cellStyle name="40% - Accent1 7" xfId="323"/>
    <cellStyle name="40% - Accent1 8" xfId="324"/>
    <cellStyle name="40% - Accent1 9" xfId="325"/>
    <cellStyle name="40% - Accent2" xfId="326" builtinId="35" customBuiltin="1"/>
    <cellStyle name="40% - Accent2 10" xfId="327"/>
    <cellStyle name="40% - Accent2 11" xfId="328"/>
    <cellStyle name="40% - Accent2 12" xfId="329"/>
    <cellStyle name="40% - Accent2 13" xfId="330"/>
    <cellStyle name="40% - Accent2 14" xfId="331"/>
    <cellStyle name="40% - Accent2 15" xfId="332"/>
    <cellStyle name="40% - Accent2 16" xfId="333"/>
    <cellStyle name="40% - Accent2 17" xfId="334"/>
    <cellStyle name="40% - Accent2 18" xfId="335"/>
    <cellStyle name="40% - Accent2 19" xfId="336"/>
    <cellStyle name="40% - Accent2 2" xfId="337"/>
    <cellStyle name="40% - Accent2 2 2" xfId="338"/>
    <cellStyle name="40% - Accent2 20" xfId="339"/>
    <cellStyle name="40% - Accent2 21" xfId="340"/>
    <cellStyle name="40% - Accent2 22" xfId="341"/>
    <cellStyle name="40% - Accent2 23" xfId="342"/>
    <cellStyle name="40% - Accent2 24" xfId="343"/>
    <cellStyle name="40% - Accent2 25" xfId="344"/>
    <cellStyle name="40% - Accent2 26" xfId="345"/>
    <cellStyle name="40% - Accent2 27" xfId="346"/>
    <cellStyle name="40% - Accent2 28" xfId="347"/>
    <cellStyle name="40% - Accent2 29" xfId="348"/>
    <cellStyle name="40% - Accent2 3" xfId="349"/>
    <cellStyle name="40% - Accent2 3 2" xfId="350"/>
    <cellStyle name="40% - Accent2 30" xfId="351"/>
    <cellStyle name="40% - Accent2 31" xfId="352"/>
    <cellStyle name="40% - Accent2 32" xfId="353"/>
    <cellStyle name="40% - Accent2 33" xfId="354"/>
    <cellStyle name="40% - Accent2 34" xfId="355"/>
    <cellStyle name="40% - Accent2 35" xfId="356"/>
    <cellStyle name="40% - Accent2 36" xfId="357"/>
    <cellStyle name="40% - Accent2 37" xfId="358"/>
    <cellStyle name="40% - Accent2 38" xfId="359"/>
    <cellStyle name="40% - Accent2 39" xfId="360"/>
    <cellStyle name="40% - Accent2 4" xfId="361"/>
    <cellStyle name="40% - Accent2 40" xfId="362"/>
    <cellStyle name="40% - Accent2 41" xfId="363"/>
    <cellStyle name="40% - Accent2 42" xfId="364"/>
    <cellStyle name="40% - Accent2 43" xfId="365"/>
    <cellStyle name="40% - Accent2 5" xfId="366"/>
    <cellStyle name="40% - Accent2 6" xfId="367"/>
    <cellStyle name="40% - Accent2 7" xfId="368"/>
    <cellStyle name="40% - Accent2 8" xfId="369"/>
    <cellStyle name="40% - Accent2 9" xfId="370"/>
    <cellStyle name="40% - Accent3" xfId="371" builtinId="39" customBuiltin="1"/>
    <cellStyle name="40% - Accent3 10" xfId="372"/>
    <cellStyle name="40% - Accent3 11" xfId="373"/>
    <cellStyle name="40% - Accent3 12" xfId="374"/>
    <cellStyle name="40% - Accent3 13" xfId="375"/>
    <cellStyle name="40% - Accent3 14" xfId="376"/>
    <cellStyle name="40% - Accent3 15" xfId="377"/>
    <cellStyle name="40% - Accent3 16" xfId="378"/>
    <cellStyle name="40% - Accent3 17" xfId="379"/>
    <cellStyle name="40% - Accent3 18" xfId="380"/>
    <cellStyle name="40% - Accent3 19" xfId="381"/>
    <cellStyle name="40% - Accent3 2" xfId="382"/>
    <cellStyle name="40% - Accent3 2 2" xfId="383"/>
    <cellStyle name="40% - Accent3 20" xfId="384"/>
    <cellStyle name="40% - Accent3 21" xfId="385"/>
    <cellStyle name="40% - Accent3 22" xfId="386"/>
    <cellStyle name="40% - Accent3 23" xfId="387"/>
    <cellStyle name="40% - Accent3 24" xfId="388"/>
    <cellStyle name="40% - Accent3 25" xfId="389"/>
    <cellStyle name="40% - Accent3 26" xfId="390"/>
    <cellStyle name="40% - Accent3 27" xfId="391"/>
    <cellStyle name="40% - Accent3 28" xfId="392"/>
    <cellStyle name="40% - Accent3 29" xfId="393"/>
    <cellStyle name="40% - Accent3 3" xfId="394"/>
    <cellStyle name="40% - Accent3 3 2" xfId="395"/>
    <cellStyle name="40% - Accent3 30" xfId="396"/>
    <cellStyle name="40% - Accent3 31" xfId="397"/>
    <cellStyle name="40% - Accent3 32" xfId="398"/>
    <cellStyle name="40% - Accent3 33" xfId="399"/>
    <cellStyle name="40% - Accent3 34" xfId="400"/>
    <cellStyle name="40% - Accent3 35" xfId="401"/>
    <cellStyle name="40% - Accent3 36" xfId="402"/>
    <cellStyle name="40% - Accent3 37" xfId="403"/>
    <cellStyle name="40% - Accent3 38" xfId="404"/>
    <cellStyle name="40% - Accent3 39" xfId="405"/>
    <cellStyle name="40% - Accent3 4" xfId="406"/>
    <cellStyle name="40% - Accent3 40" xfId="407"/>
    <cellStyle name="40% - Accent3 41" xfId="408"/>
    <cellStyle name="40% - Accent3 42" xfId="409"/>
    <cellStyle name="40% - Accent3 43" xfId="410"/>
    <cellStyle name="40% - Accent3 5" xfId="411"/>
    <cellStyle name="40% - Accent3 6" xfId="412"/>
    <cellStyle name="40% - Accent3 7" xfId="413"/>
    <cellStyle name="40% - Accent3 8" xfId="414"/>
    <cellStyle name="40% - Accent3 9" xfId="415"/>
    <cellStyle name="40% - Accent4" xfId="416" builtinId="43" customBuiltin="1"/>
    <cellStyle name="40% - Accent4 10" xfId="417"/>
    <cellStyle name="40% - Accent4 11" xfId="418"/>
    <cellStyle name="40% - Accent4 12" xfId="419"/>
    <cellStyle name="40% - Accent4 13" xfId="420"/>
    <cellStyle name="40% - Accent4 14" xfId="421"/>
    <cellStyle name="40% - Accent4 15" xfId="422"/>
    <cellStyle name="40% - Accent4 16" xfId="423"/>
    <cellStyle name="40% - Accent4 17" xfId="424"/>
    <cellStyle name="40% - Accent4 18" xfId="425"/>
    <cellStyle name="40% - Accent4 19" xfId="426"/>
    <cellStyle name="40% - Accent4 2" xfId="427"/>
    <cellStyle name="40% - Accent4 2 2" xfId="428"/>
    <cellStyle name="40% - Accent4 20" xfId="429"/>
    <cellStyle name="40% - Accent4 21" xfId="430"/>
    <cellStyle name="40% - Accent4 22" xfId="431"/>
    <cellStyle name="40% - Accent4 23" xfId="432"/>
    <cellStyle name="40% - Accent4 24" xfId="433"/>
    <cellStyle name="40% - Accent4 25" xfId="434"/>
    <cellStyle name="40% - Accent4 26" xfId="435"/>
    <cellStyle name="40% - Accent4 27" xfId="436"/>
    <cellStyle name="40% - Accent4 28" xfId="437"/>
    <cellStyle name="40% - Accent4 29" xfId="438"/>
    <cellStyle name="40% - Accent4 3" xfId="439"/>
    <cellStyle name="40% - Accent4 3 2" xfId="440"/>
    <cellStyle name="40% - Accent4 30" xfId="441"/>
    <cellStyle name="40% - Accent4 31" xfId="442"/>
    <cellStyle name="40% - Accent4 32" xfId="443"/>
    <cellStyle name="40% - Accent4 33" xfId="444"/>
    <cellStyle name="40% - Accent4 34" xfId="445"/>
    <cellStyle name="40% - Accent4 35" xfId="446"/>
    <cellStyle name="40% - Accent4 36" xfId="447"/>
    <cellStyle name="40% - Accent4 37" xfId="448"/>
    <cellStyle name="40% - Accent4 38" xfId="449"/>
    <cellStyle name="40% - Accent4 39" xfId="450"/>
    <cellStyle name="40% - Accent4 4" xfId="451"/>
    <cellStyle name="40% - Accent4 40" xfId="452"/>
    <cellStyle name="40% - Accent4 41" xfId="453"/>
    <cellStyle name="40% - Accent4 42" xfId="454"/>
    <cellStyle name="40% - Accent4 43" xfId="455"/>
    <cellStyle name="40% - Accent4 5" xfId="456"/>
    <cellStyle name="40% - Accent4 6" xfId="457"/>
    <cellStyle name="40% - Accent4 7" xfId="458"/>
    <cellStyle name="40% - Accent4 8" xfId="459"/>
    <cellStyle name="40% - Accent4 9" xfId="460"/>
    <cellStyle name="40% - Accent5" xfId="461" builtinId="47" customBuiltin="1"/>
    <cellStyle name="40% - Accent5 10" xfId="462"/>
    <cellStyle name="40% - Accent5 11" xfId="463"/>
    <cellStyle name="40% - Accent5 12" xfId="464"/>
    <cellStyle name="40% - Accent5 13" xfId="465"/>
    <cellStyle name="40% - Accent5 14" xfId="466"/>
    <cellStyle name="40% - Accent5 15" xfId="467"/>
    <cellStyle name="40% - Accent5 16" xfId="468"/>
    <cellStyle name="40% - Accent5 17" xfId="469"/>
    <cellStyle name="40% - Accent5 18" xfId="470"/>
    <cellStyle name="40% - Accent5 19" xfId="471"/>
    <cellStyle name="40% - Accent5 2" xfId="472"/>
    <cellStyle name="40% - Accent5 2 2" xfId="473"/>
    <cellStyle name="40% - Accent5 20" xfId="474"/>
    <cellStyle name="40% - Accent5 21" xfId="475"/>
    <cellStyle name="40% - Accent5 22" xfId="476"/>
    <cellStyle name="40% - Accent5 23" xfId="477"/>
    <cellStyle name="40% - Accent5 24" xfId="478"/>
    <cellStyle name="40% - Accent5 25" xfId="479"/>
    <cellStyle name="40% - Accent5 26" xfId="480"/>
    <cellStyle name="40% - Accent5 27" xfId="481"/>
    <cellStyle name="40% - Accent5 28" xfId="482"/>
    <cellStyle name="40% - Accent5 29" xfId="483"/>
    <cellStyle name="40% - Accent5 3" xfId="484"/>
    <cellStyle name="40% - Accent5 3 2" xfId="485"/>
    <cellStyle name="40% - Accent5 30" xfId="486"/>
    <cellStyle name="40% - Accent5 31" xfId="487"/>
    <cellStyle name="40% - Accent5 32" xfId="488"/>
    <cellStyle name="40% - Accent5 33" xfId="489"/>
    <cellStyle name="40% - Accent5 34" xfId="490"/>
    <cellStyle name="40% - Accent5 35" xfId="491"/>
    <cellStyle name="40% - Accent5 36" xfId="492"/>
    <cellStyle name="40% - Accent5 37" xfId="493"/>
    <cellStyle name="40% - Accent5 38" xfId="494"/>
    <cellStyle name="40% - Accent5 39" xfId="495"/>
    <cellStyle name="40% - Accent5 4" xfId="496"/>
    <cellStyle name="40% - Accent5 40" xfId="497"/>
    <cellStyle name="40% - Accent5 41" xfId="498"/>
    <cellStyle name="40% - Accent5 42" xfId="499"/>
    <cellStyle name="40% - Accent5 43" xfId="500"/>
    <cellStyle name="40% - Accent5 5" xfId="501"/>
    <cellStyle name="40% - Accent5 6" xfId="502"/>
    <cellStyle name="40% - Accent5 7" xfId="503"/>
    <cellStyle name="40% - Accent5 8" xfId="504"/>
    <cellStyle name="40% - Accent5 9" xfId="505"/>
    <cellStyle name="40% - Accent6" xfId="506" builtinId="51" customBuiltin="1"/>
    <cellStyle name="40% - Accent6 10" xfId="507"/>
    <cellStyle name="40% - Accent6 11" xfId="508"/>
    <cellStyle name="40% - Accent6 12" xfId="509"/>
    <cellStyle name="40% - Accent6 13" xfId="510"/>
    <cellStyle name="40% - Accent6 14" xfId="511"/>
    <cellStyle name="40% - Accent6 15" xfId="512"/>
    <cellStyle name="40% - Accent6 16" xfId="513"/>
    <cellStyle name="40% - Accent6 17" xfId="514"/>
    <cellStyle name="40% - Accent6 18" xfId="515"/>
    <cellStyle name="40% - Accent6 19" xfId="516"/>
    <cellStyle name="40% - Accent6 2" xfId="517"/>
    <cellStyle name="40% - Accent6 2 2" xfId="518"/>
    <cellStyle name="40% - Accent6 20" xfId="519"/>
    <cellStyle name="40% - Accent6 21" xfId="520"/>
    <cellStyle name="40% - Accent6 22" xfId="521"/>
    <cellStyle name="40% - Accent6 23" xfId="522"/>
    <cellStyle name="40% - Accent6 24" xfId="523"/>
    <cellStyle name="40% - Accent6 25" xfId="524"/>
    <cellStyle name="40% - Accent6 26" xfId="525"/>
    <cellStyle name="40% - Accent6 27" xfId="526"/>
    <cellStyle name="40% - Accent6 28" xfId="527"/>
    <cellStyle name="40% - Accent6 29" xfId="528"/>
    <cellStyle name="40% - Accent6 3" xfId="529"/>
    <cellStyle name="40% - Accent6 3 2" xfId="530"/>
    <cellStyle name="40% - Accent6 30" xfId="531"/>
    <cellStyle name="40% - Accent6 31" xfId="532"/>
    <cellStyle name="40% - Accent6 32" xfId="533"/>
    <cellStyle name="40% - Accent6 33" xfId="534"/>
    <cellStyle name="40% - Accent6 34" xfId="535"/>
    <cellStyle name="40% - Accent6 35" xfId="536"/>
    <cellStyle name="40% - Accent6 36" xfId="537"/>
    <cellStyle name="40% - Accent6 37" xfId="538"/>
    <cellStyle name="40% - Accent6 38" xfId="539"/>
    <cellStyle name="40% - Accent6 39" xfId="540"/>
    <cellStyle name="40% - Accent6 4" xfId="541"/>
    <cellStyle name="40% - Accent6 40" xfId="542"/>
    <cellStyle name="40% - Accent6 41" xfId="543"/>
    <cellStyle name="40% - Accent6 42" xfId="544"/>
    <cellStyle name="40% - Accent6 43" xfId="545"/>
    <cellStyle name="40% - Accent6 5" xfId="546"/>
    <cellStyle name="40% - Accent6 6" xfId="547"/>
    <cellStyle name="40% - Accent6 7" xfId="548"/>
    <cellStyle name="40% - Accent6 8" xfId="549"/>
    <cellStyle name="40% - Accent6 9" xfId="550"/>
    <cellStyle name="40% - Akzent1" xfId="551"/>
    <cellStyle name="40% - Akzent2" xfId="552"/>
    <cellStyle name="40% - Akzent3" xfId="553"/>
    <cellStyle name="40% - Akzent4" xfId="554"/>
    <cellStyle name="40% - Akzent5" xfId="555"/>
    <cellStyle name="40% - Akzent6" xfId="556"/>
    <cellStyle name="5x indented GHG Textfiels" xfId="557"/>
    <cellStyle name="5x indented GHG Textfiels 2" xfId="558"/>
    <cellStyle name="5x indented GHG Textfiels 3" xfId="559"/>
    <cellStyle name="60% - Accent1" xfId="560" builtinId="32" customBuiltin="1"/>
    <cellStyle name="60% - Accent1 10" xfId="561"/>
    <cellStyle name="60% - Accent1 11" xfId="562"/>
    <cellStyle name="60% - Accent1 12" xfId="563"/>
    <cellStyle name="60% - Accent1 13" xfId="564"/>
    <cellStyle name="60% - Accent1 14" xfId="565"/>
    <cellStyle name="60% - Accent1 15" xfId="566"/>
    <cellStyle name="60% - Accent1 16" xfId="567"/>
    <cellStyle name="60% - Accent1 17" xfId="568"/>
    <cellStyle name="60% - Accent1 18" xfId="569"/>
    <cellStyle name="60% - Accent1 19" xfId="570"/>
    <cellStyle name="60% - Accent1 2" xfId="571"/>
    <cellStyle name="60% - Accent1 2 2" xfId="572"/>
    <cellStyle name="60% - Accent1 20" xfId="573"/>
    <cellStyle name="60% - Accent1 21" xfId="574"/>
    <cellStyle name="60% - Accent1 22" xfId="575"/>
    <cellStyle name="60% - Accent1 23" xfId="576"/>
    <cellStyle name="60% - Accent1 24" xfId="577"/>
    <cellStyle name="60% - Accent1 25" xfId="578"/>
    <cellStyle name="60% - Accent1 26" xfId="579"/>
    <cellStyle name="60% - Accent1 27" xfId="580"/>
    <cellStyle name="60% - Accent1 28" xfId="581"/>
    <cellStyle name="60% - Accent1 29" xfId="582"/>
    <cellStyle name="60% - Accent1 3" xfId="583"/>
    <cellStyle name="60% - Accent1 3 2" xfId="584"/>
    <cellStyle name="60% - Accent1 30" xfId="585"/>
    <cellStyle name="60% - Accent1 31" xfId="586"/>
    <cellStyle name="60% - Accent1 32" xfId="587"/>
    <cellStyle name="60% - Accent1 33" xfId="588"/>
    <cellStyle name="60% - Accent1 34" xfId="589"/>
    <cellStyle name="60% - Accent1 35" xfId="590"/>
    <cellStyle name="60% - Accent1 36" xfId="591"/>
    <cellStyle name="60% - Accent1 37" xfId="592"/>
    <cellStyle name="60% - Accent1 38" xfId="593"/>
    <cellStyle name="60% - Accent1 39" xfId="594"/>
    <cellStyle name="60% - Accent1 4" xfId="595"/>
    <cellStyle name="60% - Accent1 40" xfId="596"/>
    <cellStyle name="60% - Accent1 41" xfId="597"/>
    <cellStyle name="60% - Accent1 42" xfId="598"/>
    <cellStyle name="60% - Accent1 43" xfId="599"/>
    <cellStyle name="60% - Accent1 5" xfId="600"/>
    <cellStyle name="60% - Accent1 6" xfId="601"/>
    <cellStyle name="60% - Accent1 7" xfId="602"/>
    <cellStyle name="60% - Accent1 8" xfId="603"/>
    <cellStyle name="60% - Accent1 9" xfId="604"/>
    <cellStyle name="60% - Accent2" xfId="605" builtinId="36" customBuiltin="1"/>
    <cellStyle name="60% - Accent2 10" xfId="606"/>
    <cellStyle name="60% - Accent2 11" xfId="607"/>
    <cellStyle name="60% - Accent2 12" xfId="608"/>
    <cellStyle name="60% - Accent2 13" xfId="609"/>
    <cellStyle name="60% - Accent2 14" xfId="610"/>
    <cellStyle name="60% - Accent2 15" xfId="611"/>
    <cellStyle name="60% - Accent2 16" xfId="612"/>
    <cellStyle name="60% - Accent2 17" xfId="613"/>
    <cellStyle name="60% - Accent2 18" xfId="614"/>
    <cellStyle name="60% - Accent2 19" xfId="615"/>
    <cellStyle name="60% - Accent2 2" xfId="616"/>
    <cellStyle name="60% - Accent2 2 2" xfId="617"/>
    <cellStyle name="60% - Accent2 20" xfId="618"/>
    <cellStyle name="60% - Accent2 21" xfId="619"/>
    <cellStyle name="60% - Accent2 22" xfId="620"/>
    <cellStyle name="60% - Accent2 23" xfId="621"/>
    <cellStyle name="60% - Accent2 24" xfId="622"/>
    <cellStyle name="60% - Accent2 25" xfId="623"/>
    <cellStyle name="60% - Accent2 26" xfId="624"/>
    <cellStyle name="60% - Accent2 27" xfId="625"/>
    <cellStyle name="60% - Accent2 28" xfId="626"/>
    <cellStyle name="60% - Accent2 29" xfId="627"/>
    <cellStyle name="60% - Accent2 3" xfId="628"/>
    <cellStyle name="60% - Accent2 3 2" xfId="629"/>
    <cellStyle name="60% - Accent2 30" xfId="630"/>
    <cellStyle name="60% - Accent2 31" xfId="631"/>
    <cellStyle name="60% - Accent2 32" xfId="632"/>
    <cellStyle name="60% - Accent2 33" xfId="633"/>
    <cellStyle name="60% - Accent2 34" xfId="634"/>
    <cellStyle name="60% - Accent2 35" xfId="635"/>
    <cellStyle name="60% - Accent2 36" xfId="636"/>
    <cellStyle name="60% - Accent2 37" xfId="637"/>
    <cellStyle name="60% - Accent2 38" xfId="638"/>
    <cellStyle name="60% - Accent2 39" xfId="639"/>
    <cellStyle name="60% - Accent2 4" xfId="640"/>
    <cellStyle name="60% - Accent2 40" xfId="641"/>
    <cellStyle name="60% - Accent2 41" xfId="642"/>
    <cellStyle name="60% - Accent2 42" xfId="643"/>
    <cellStyle name="60% - Accent2 43" xfId="644"/>
    <cellStyle name="60% - Accent2 5" xfId="645"/>
    <cellStyle name="60% - Accent2 6" xfId="646"/>
    <cellStyle name="60% - Accent2 7" xfId="647"/>
    <cellStyle name="60% - Accent2 8" xfId="648"/>
    <cellStyle name="60% - Accent2 9" xfId="649"/>
    <cellStyle name="60% - Accent3" xfId="650" builtinId="40" customBuiltin="1"/>
    <cellStyle name="60% - Accent3 10" xfId="651"/>
    <cellStyle name="60% - Accent3 11" xfId="652"/>
    <cellStyle name="60% - Accent3 12" xfId="653"/>
    <cellStyle name="60% - Accent3 13" xfId="654"/>
    <cellStyle name="60% - Accent3 14" xfId="655"/>
    <cellStyle name="60% - Accent3 15" xfId="656"/>
    <cellStyle name="60% - Accent3 16" xfId="657"/>
    <cellStyle name="60% - Accent3 17" xfId="658"/>
    <cellStyle name="60% - Accent3 18" xfId="659"/>
    <cellStyle name="60% - Accent3 19" xfId="660"/>
    <cellStyle name="60% - Accent3 2" xfId="661"/>
    <cellStyle name="60% - Accent3 2 2" xfId="662"/>
    <cellStyle name="60% - Accent3 20" xfId="663"/>
    <cellStyle name="60% - Accent3 21" xfId="664"/>
    <cellStyle name="60% - Accent3 22" xfId="665"/>
    <cellStyle name="60% - Accent3 23" xfId="666"/>
    <cellStyle name="60% - Accent3 24" xfId="667"/>
    <cellStyle name="60% - Accent3 25" xfId="668"/>
    <cellStyle name="60% - Accent3 26" xfId="669"/>
    <cellStyle name="60% - Accent3 27" xfId="670"/>
    <cellStyle name="60% - Accent3 28" xfId="671"/>
    <cellStyle name="60% - Accent3 29" xfId="672"/>
    <cellStyle name="60% - Accent3 3" xfId="673"/>
    <cellStyle name="60% - Accent3 3 2" xfId="674"/>
    <cellStyle name="60% - Accent3 30" xfId="675"/>
    <cellStyle name="60% - Accent3 31" xfId="676"/>
    <cellStyle name="60% - Accent3 32" xfId="677"/>
    <cellStyle name="60% - Accent3 33" xfId="678"/>
    <cellStyle name="60% - Accent3 34" xfId="679"/>
    <cellStyle name="60% - Accent3 35" xfId="680"/>
    <cellStyle name="60% - Accent3 36" xfId="681"/>
    <cellStyle name="60% - Accent3 37" xfId="682"/>
    <cellStyle name="60% - Accent3 38" xfId="683"/>
    <cellStyle name="60% - Accent3 39" xfId="684"/>
    <cellStyle name="60% - Accent3 4" xfId="685"/>
    <cellStyle name="60% - Accent3 40" xfId="686"/>
    <cellStyle name="60% - Accent3 41" xfId="687"/>
    <cellStyle name="60% - Accent3 42" xfId="688"/>
    <cellStyle name="60% - Accent3 43" xfId="689"/>
    <cellStyle name="60% - Accent3 5" xfId="690"/>
    <cellStyle name="60% - Accent3 6" xfId="691"/>
    <cellStyle name="60% - Accent3 7" xfId="692"/>
    <cellStyle name="60% - Accent3 8" xfId="693"/>
    <cellStyle name="60% - Accent3 9" xfId="694"/>
    <cellStyle name="60% - Accent4" xfId="695" builtinId="44" customBuiltin="1"/>
    <cellStyle name="60% - Accent4 10" xfId="696"/>
    <cellStyle name="60% - Accent4 11" xfId="697"/>
    <cellStyle name="60% - Accent4 12" xfId="698"/>
    <cellStyle name="60% - Accent4 13" xfId="699"/>
    <cellStyle name="60% - Accent4 14" xfId="700"/>
    <cellStyle name="60% - Accent4 15" xfId="701"/>
    <cellStyle name="60% - Accent4 16" xfId="702"/>
    <cellStyle name="60% - Accent4 17" xfId="703"/>
    <cellStyle name="60% - Accent4 18" xfId="704"/>
    <cellStyle name="60% - Accent4 19" xfId="705"/>
    <cellStyle name="60% - Accent4 2" xfId="706"/>
    <cellStyle name="60% - Accent4 2 2" xfId="707"/>
    <cellStyle name="60% - Accent4 20" xfId="708"/>
    <cellStyle name="60% - Accent4 21" xfId="709"/>
    <cellStyle name="60% - Accent4 22" xfId="710"/>
    <cellStyle name="60% - Accent4 23" xfId="711"/>
    <cellStyle name="60% - Accent4 24" xfId="712"/>
    <cellStyle name="60% - Accent4 25" xfId="713"/>
    <cellStyle name="60% - Accent4 26" xfId="714"/>
    <cellStyle name="60% - Accent4 27" xfId="715"/>
    <cellStyle name="60% - Accent4 28" xfId="716"/>
    <cellStyle name="60% - Accent4 29" xfId="717"/>
    <cellStyle name="60% - Accent4 3" xfId="718"/>
    <cellStyle name="60% - Accent4 3 2" xfId="719"/>
    <cellStyle name="60% - Accent4 30" xfId="720"/>
    <cellStyle name="60% - Accent4 31" xfId="721"/>
    <cellStyle name="60% - Accent4 32" xfId="722"/>
    <cellStyle name="60% - Accent4 33" xfId="723"/>
    <cellStyle name="60% - Accent4 34" xfId="724"/>
    <cellStyle name="60% - Accent4 35" xfId="725"/>
    <cellStyle name="60% - Accent4 36" xfId="726"/>
    <cellStyle name="60% - Accent4 37" xfId="727"/>
    <cellStyle name="60% - Accent4 38" xfId="728"/>
    <cellStyle name="60% - Accent4 39" xfId="729"/>
    <cellStyle name="60% - Accent4 4" xfId="730"/>
    <cellStyle name="60% - Accent4 40" xfId="731"/>
    <cellStyle name="60% - Accent4 41" xfId="732"/>
    <cellStyle name="60% - Accent4 42" xfId="733"/>
    <cellStyle name="60% - Accent4 43" xfId="734"/>
    <cellStyle name="60% - Accent4 5" xfId="735"/>
    <cellStyle name="60% - Accent4 6" xfId="736"/>
    <cellStyle name="60% - Accent4 7" xfId="737"/>
    <cellStyle name="60% - Accent4 8" xfId="738"/>
    <cellStyle name="60% - Accent4 9" xfId="739"/>
    <cellStyle name="60% - Accent5" xfId="740" builtinId="48" customBuiltin="1"/>
    <cellStyle name="60% - Accent5 10" xfId="741"/>
    <cellStyle name="60% - Accent5 11" xfId="742"/>
    <cellStyle name="60% - Accent5 12" xfId="743"/>
    <cellStyle name="60% - Accent5 13" xfId="744"/>
    <cellStyle name="60% - Accent5 14" xfId="745"/>
    <cellStyle name="60% - Accent5 15" xfId="746"/>
    <cellStyle name="60% - Accent5 16" xfId="747"/>
    <cellStyle name="60% - Accent5 17" xfId="748"/>
    <cellStyle name="60% - Accent5 18" xfId="749"/>
    <cellStyle name="60% - Accent5 19" xfId="750"/>
    <cellStyle name="60% - Accent5 2" xfId="751"/>
    <cellStyle name="60% - Accent5 2 2" xfId="752"/>
    <cellStyle name="60% - Accent5 20" xfId="753"/>
    <cellStyle name="60% - Accent5 21" xfId="754"/>
    <cellStyle name="60% - Accent5 22" xfId="755"/>
    <cellStyle name="60% - Accent5 23" xfId="756"/>
    <cellStyle name="60% - Accent5 24" xfId="757"/>
    <cellStyle name="60% - Accent5 25" xfId="758"/>
    <cellStyle name="60% - Accent5 26" xfId="759"/>
    <cellStyle name="60% - Accent5 27" xfId="760"/>
    <cellStyle name="60% - Accent5 28" xfId="761"/>
    <cellStyle name="60% - Accent5 29" xfId="762"/>
    <cellStyle name="60% - Accent5 3" xfId="763"/>
    <cellStyle name="60% - Accent5 3 2" xfId="764"/>
    <cellStyle name="60% - Accent5 30" xfId="765"/>
    <cellStyle name="60% - Accent5 31" xfId="766"/>
    <cellStyle name="60% - Accent5 32" xfId="767"/>
    <cellStyle name="60% - Accent5 33" xfId="768"/>
    <cellStyle name="60% - Accent5 34" xfId="769"/>
    <cellStyle name="60% - Accent5 35" xfId="770"/>
    <cellStyle name="60% - Accent5 36" xfId="771"/>
    <cellStyle name="60% - Accent5 37" xfId="772"/>
    <cellStyle name="60% - Accent5 38" xfId="773"/>
    <cellStyle name="60% - Accent5 39" xfId="774"/>
    <cellStyle name="60% - Accent5 4" xfId="775"/>
    <cellStyle name="60% - Accent5 40" xfId="776"/>
    <cellStyle name="60% - Accent5 41" xfId="777"/>
    <cellStyle name="60% - Accent5 42" xfId="778"/>
    <cellStyle name="60% - Accent5 43" xfId="779"/>
    <cellStyle name="60% - Accent5 5" xfId="780"/>
    <cellStyle name="60% - Accent5 6" xfId="781"/>
    <cellStyle name="60% - Accent5 7" xfId="782"/>
    <cellStyle name="60% - Accent5 8" xfId="783"/>
    <cellStyle name="60% - Accent5 9" xfId="784"/>
    <cellStyle name="60% - Accent6" xfId="785" builtinId="52" customBuiltin="1"/>
    <cellStyle name="60% - Accent6 10" xfId="786"/>
    <cellStyle name="60% - Accent6 11" xfId="787"/>
    <cellStyle name="60% - Accent6 12" xfId="788"/>
    <cellStyle name="60% - Accent6 13" xfId="789"/>
    <cellStyle name="60% - Accent6 14" xfId="790"/>
    <cellStyle name="60% - Accent6 15" xfId="791"/>
    <cellStyle name="60% - Accent6 16" xfId="792"/>
    <cellStyle name="60% - Accent6 17" xfId="793"/>
    <cellStyle name="60% - Accent6 18" xfId="794"/>
    <cellStyle name="60% - Accent6 19" xfId="795"/>
    <cellStyle name="60% - Accent6 2" xfId="796"/>
    <cellStyle name="60% - Accent6 2 2" xfId="797"/>
    <cellStyle name="60% - Accent6 20" xfId="798"/>
    <cellStyle name="60% - Accent6 21" xfId="799"/>
    <cellStyle name="60% - Accent6 22" xfId="800"/>
    <cellStyle name="60% - Accent6 23" xfId="801"/>
    <cellStyle name="60% - Accent6 24" xfId="802"/>
    <cellStyle name="60% - Accent6 25" xfId="803"/>
    <cellStyle name="60% - Accent6 26" xfId="804"/>
    <cellStyle name="60% - Accent6 27" xfId="805"/>
    <cellStyle name="60% - Accent6 28" xfId="806"/>
    <cellStyle name="60% - Accent6 29" xfId="807"/>
    <cellStyle name="60% - Accent6 3" xfId="808"/>
    <cellStyle name="60% - Accent6 3 2" xfId="809"/>
    <cellStyle name="60% - Accent6 30" xfId="810"/>
    <cellStyle name="60% - Accent6 31" xfId="811"/>
    <cellStyle name="60% - Accent6 32" xfId="812"/>
    <cellStyle name="60% - Accent6 33" xfId="813"/>
    <cellStyle name="60% - Accent6 34" xfId="814"/>
    <cellStyle name="60% - Accent6 35" xfId="815"/>
    <cellStyle name="60% - Accent6 36" xfId="816"/>
    <cellStyle name="60% - Accent6 37" xfId="817"/>
    <cellStyle name="60% - Accent6 38" xfId="818"/>
    <cellStyle name="60% - Accent6 39" xfId="819"/>
    <cellStyle name="60% - Accent6 4" xfId="820"/>
    <cellStyle name="60% - Accent6 40" xfId="821"/>
    <cellStyle name="60% - Accent6 41" xfId="822"/>
    <cellStyle name="60% - Accent6 42" xfId="823"/>
    <cellStyle name="60% - Accent6 43" xfId="824"/>
    <cellStyle name="60% - Accent6 5" xfId="825"/>
    <cellStyle name="60% - Accent6 6" xfId="826"/>
    <cellStyle name="60% - Accent6 7" xfId="827"/>
    <cellStyle name="60% - Accent6 8" xfId="828"/>
    <cellStyle name="60% - Accent6 9" xfId="829"/>
    <cellStyle name="60% - Akzent1" xfId="830"/>
    <cellStyle name="60% - Akzent2" xfId="831"/>
    <cellStyle name="60% - Akzent3" xfId="832"/>
    <cellStyle name="60% - Akzent4" xfId="833"/>
    <cellStyle name="60% - Akzent5" xfId="834"/>
    <cellStyle name="60% - Akzent6" xfId="835"/>
    <cellStyle name="60% - Cor4 2" xfId="836"/>
    <cellStyle name="Accent1" xfId="837" builtinId="29" customBuiltin="1"/>
    <cellStyle name="Accent1 10" xfId="838"/>
    <cellStyle name="Accent1 11" xfId="839"/>
    <cellStyle name="Accent1 12" xfId="840"/>
    <cellStyle name="Accent1 13" xfId="841"/>
    <cellStyle name="Accent1 14" xfId="842"/>
    <cellStyle name="Accent1 15" xfId="843"/>
    <cellStyle name="Accent1 16" xfId="844"/>
    <cellStyle name="Accent1 17" xfId="845"/>
    <cellStyle name="Accent1 18" xfId="846"/>
    <cellStyle name="Accent1 19" xfId="847"/>
    <cellStyle name="Accent1 2" xfId="848"/>
    <cellStyle name="Accent1 2 2" xfId="849"/>
    <cellStyle name="Accent1 20" xfId="850"/>
    <cellStyle name="Accent1 21" xfId="851"/>
    <cellStyle name="Accent1 22" xfId="852"/>
    <cellStyle name="Accent1 23" xfId="853"/>
    <cellStyle name="Accent1 24" xfId="854"/>
    <cellStyle name="Accent1 25" xfId="855"/>
    <cellStyle name="Accent1 26" xfId="856"/>
    <cellStyle name="Accent1 27" xfId="857"/>
    <cellStyle name="Accent1 28" xfId="858"/>
    <cellStyle name="Accent1 29" xfId="859"/>
    <cellStyle name="Accent1 3" xfId="860"/>
    <cellStyle name="Accent1 3 2" xfId="861"/>
    <cellStyle name="Accent1 30" xfId="862"/>
    <cellStyle name="Accent1 31" xfId="863"/>
    <cellStyle name="Accent1 32" xfId="864"/>
    <cellStyle name="Accent1 33" xfId="865"/>
    <cellStyle name="Accent1 34" xfId="866"/>
    <cellStyle name="Accent1 35" xfId="867"/>
    <cellStyle name="Accent1 36" xfId="868"/>
    <cellStyle name="Accent1 37" xfId="869"/>
    <cellStyle name="Accent1 38" xfId="870"/>
    <cellStyle name="Accent1 39" xfId="871"/>
    <cellStyle name="Accent1 4" xfId="872"/>
    <cellStyle name="Accent1 40" xfId="873"/>
    <cellStyle name="Accent1 41" xfId="874"/>
    <cellStyle name="Accent1 42" xfId="875"/>
    <cellStyle name="Accent1 43" xfId="876"/>
    <cellStyle name="Accent1 5" xfId="877"/>
    <cellStyle name="Accent1 6" xfId="878"/>
    <cellStyle name="Accent1 7" xfId="879"/>
    <cellStyle name="Accent1 8" xfId="880"/>
    <cellStyle name="Accent1 9" xfId="881"/>
    <cellStyle name="Accent2" xfId="882" builtinId="33" customBuiltin="1"/>
    <cellStyle name="Accent2 10" xfId="883"/>
    <cellStyle name="Accent2 11" xfId="884"/>
    <cellStyle name="Accent2 12" xfId="885"/>
    <cellStyle name="Accent2 13" xfId="886"/>
    <cellStyle name="Accent2 14" xfId="887"/>
    <cellStyle name="Accent2 15" xfId="888"/>
    <cellStyle name="Accent2 16" xfId="889"/>
    <cellStyle name="Accent2 17" xfId="890"/>
    <cellStyle name="Accent2 18" xfId="891"/>
    <cellStyle name="Accent2 19" xfId="892"/>
    <cellStyle name="Accent2 2" xfId="893"/>
    <cellStyle name="Accent2 2 2" xfId="894"/>
    <cellStyle name="Accent2 20" xfId="895"/>
    <cellStyle name="Accent2 21" xfId="896"/>
    <cellStyle name="Accent2 22" xfId="897"/>
    <cellStyle name="Accent2 23" xfId="898"/>
    <cellStyle name="Accent2 24" xfId="899"/>
    <cellStyle name="Accent2 25" xfId="900"/>
    <cellStyle name="Accent2 26" xfId="901"/>
    <cellStyle name="Accent2 27" xfId="902"/>
    <cellStyle name="Accent2 28" xfId="903"/>
    <cellStyle name="Accent2 29" xfId="904"/>
    <cellStyle name="Accent2 3" xfId="905"/>
    <cellStyle name="Accent2 3 2" xfId="906"/>
    <cellStyle name="Accent2 30" xfId="907"/>
    <cellStyle name="Accent2 31" xfId="908"/>
    <cellStyle name="Accent2 32" xfId="909"/>
    <cellStyle name="Accent2 33" xfId="910"/>
    <cellStyle name="Accent2 34" xfId="911"/>
    <cellStyle name="Accent2 35" xfId="912"/>
    <cellStyle name="Accent2 36" xfId="913"/>
    <cellStyle name="Accent2 37" xfId="914"/>
    <cellStyle name="Accent2 38" xfId="915"/>
    <cellStyle name="Accent2 39" xfId="916"/>
    <cellStyle name="Accent2 4" xfId="917"/>
    <cellStyle name="Accent2 40" xfId="918"/>
    <cellStyle name="Accent2 41" xfId="919"/>
    <cellStyle name="Accent2 42" xfId="920"/>
    <cellStyle name="Accent2 43" xfId="921"/>
    <cellStyle name="Accent2 5" xfId="922"/>
    <cellStyle name="Accent2 6" xfId="923"/>
    <cellStyle name="Accent2 7" xfId="924"/>
    <cellStyle name="Accent2 8" xfId="925"/>
    <cellStyle name="Accent2 9" xfId="926"/>
    <cellStyle name="Accent3" xfId="927" builtinId="37" customBuiltin="1"/>
    <cellStyle name="Accent3 10" xfId="928"/>
    <cellStyle name="Accent3 11" xfId="929"/>
    <cellStyle name="Accent3 12" xfId="930"/>
    <cellStyle name="Accent3 13" xfId="931"/>
    <cellStyle name="Accent3 14" xfId="932"/>
    <cellStyle name="Accent3 15" xfId="933"/>
    <cellStyle name="Accent3 16" xfId="934"/>
    <cellStyle name="Accent3 17" xfId="935"/>
    <cellStyle name="Accent3 18" xfId="936"/>
    <cellStyle name="Accent3 19" xfId="937"/>
    <cellStyle name="Accent3 2" xfId="938"/>
    <cellStyle name="Accent3 2 2" xfId="939"/>
    <cellStyle name="Accent3 20" xfId="940"/>
    <cellStyle name="Accent3 21" xfId="941"/>
    <cellStyle name="Accent3 22" xfId="942"/>
    <cellStyle name="Accent3 23" xfId="943"/>
    <cellStyle name="Accent3 24" xfId="944"/>
    <cellStyle name="Accent3 25" xfId="945"/>
    <cellStyle name="Accent3 26" xfId="946"/>
    <cellStyle name="Accent3 27" xfId="947"/>
    <cellStyle name="Accent3 28" xfId="948"/>
    <cellStyle name="Accent3 29" xfId="949"/>
    <cellStyle name="Accent3 3" xfId="950"/>
    <cellStyle name="Accent3 3 2" xfId="951"/>
    <cellStyle name="Accent3 30" xfId="952"/>
    <cellStyle name="Accent3 31" xfId="953"/>
    <cellStyle name="Accent3 32" xfId="954"/>
    <cellStyle name="Accent3 33" xfId="955"/>
    <cellStyle name="Accent3 34" xfId="956"/>
    <cellStyle name="Accent3 35" xfId="957"/>
    <cellStyle name="Accent3 36" xfId="958"/>
    <cellStyle name="Accent3 37" xfId="959"/>
    <cellStyle name="Accent3 38" xfId="960"/>
    <cellStyle name="Accent3 39" xfId="961"/>
    <cellStyle name="Accent3 4" xfId="962"/>
    <cellStyle name="Accent3 40" xfId="963"/>
    <cellStyle name="Accent3 41" xfId="964"/>
    <cellStyle name="Accent3 42" xfId="965"/>
    <cellStyle name="Accent3 43" xfId="966"/>
    <cellStyle name="Accent3 5" xfId="967"/>
    <cellStyle name="Accent3 6" xfId="968"/>
    <cellStyle name="Accent3 7" xfId="969"/>
    <cellStyle name="Accent3 8" xfId="970"/>
    <cellStyle name="Accent3 9" xfId="971"/>
    <cellStyle name="Accent4" xfId="972" builtinId="41" customBuiltin="1"/>
    <cellStyle name="Accent4 10" xfId="973"/>
    <cellStyle name="Accent4 11" xfId="974"/>
    <cellStyle name="Accent4 12" xfId="975"/>
    <cellStyle name="Accent4 13" xfId="976"/>
    <cellStyle name="Accent4 14" xfId="977"/>
    <cellStyle name="Accent4 15" xfId="978"/>
    <cellStyle name="Accent4 16" xfId="979"/>
    <cellStyle name="Accent4 17" xfId="980"/>
    <cellStyle name="Accent4 18" xfId="981"/>
    <cellStyle name="Accent4 19" xfId="982"/>
    <cellStyle name="Accent4 2" xfId="983"/>
    <cellStyle name="Accent4 2 2" xfId="984"/>
    <cellStyle name="Accent4 20" xfId="985"/>
    <cellStyle name="Accent4 21" xfId="986"/>
    <cellStyle name="Accent4 22" xfId="987"/>
    <cellStyle name="Accent4 23" xfId="988"/>
    <cellStyle name="Accent4 24" xfId="989"/>
    <cellStyle name="Accent4 25" xfId="990"/>
    <cellStyle name="Accent4 26" xfId="991"/>
    <cellStyle name="Accent4 27" xfId="992"/>
    <cellStyle name="Accent4 28" xfId="993"/>
    <cellStyle name="Accent4 29" xfId="994"/>
    <cellStyle name="Accent4 3" xfId="995"/>
    <cellStyle name="Accent4 3 2" xfId="996"/>
    <cellStyle name="Accent4 30" xfId="997"/>
    <cellStyle name="Accent4 31" xfId="998"/>
    <cellStyle name="Accent4 32" xfId="999"/>
    <cellStyle name="Accent4 33" xfId="1000"/>
    <cellStyle name="Accent4 34" xfId="1001"/>
    <cellStyle name="Accent4 35" xfId="1002"/>
    <cellStyle name="Accent4 36" xfId="1003"/>
    <cellStyle name="Accent4 37" xfId="1004"/>
    <cellStyle name="Accent4 38" xfId="1005"/>
    <cellStyle name="Accent4 39" xfId="1006"/>
    <cellStyle name="Accent4 4" xfId="1007"/>
    <cellStyle name="Accent4 40" xfId="1008"/>
    <cellStyle name="Accent4 41" xfId="1009"/>
    <cellStyle name="Accent4 42" xfId="1010"/>
    <cellStyle name="Accent4 43" xfId="1011"/>
    <cellStyle name="Accent4 5" xfId="1012"/>
    <cellStyle name="Accent4 6" xfId="1013"/>
    <cellStyle name="Accent4 7" xfId="1014"/>
    <cellStyle name="Accent4 8" xfId="1015"/>
    <cellStyle name="Accent4 9" xfId="1016"/>
    <cellStyle name="Accent5" xfId="1017" builtinId="45" customBuiltin="1"/>
    <cellStyle name="Accent5 10" xfId="1018"/>
    <cellStyle name="Accent5 11" xfId="1019"/>
    <cellStyle name="Accent5 12" xfId="1020"/>
    <cellStyle name="Accent5 13" xfId="1021"/>
    <cellStyle name="Accent5 14" xfId="1022"/>
    <cellStyle name="Accent5 15" xfId="1023"/>
    <cellStyle name="Accent5 16" xfId="1024"/>
    <cellStyle name="Accent5 17" xfId="1025"/>
    <cellStyle name="Accent5 18" xfId="1026"/>
    <cellStyle name="Accent5 19" xfId="1027"/>
    <cellStyle name="Accent5 2" xfId="1028"/>
    <cellStyle name="Accent5 2 2" xfId="1029"/>
    <cellStyle name="Accent5 20" xfId="1030"/>
    <cellStyle name="Accent5 21" xfId="1031"/>
    <cellStyle name="Accent5 22" xfId="1032"/>
    <cellStyle name="Accent5 23" xfId="1033"/>
    <cellStyle name="Accent5 24" xfId="1034"/>
    <cellStyle name="Accent5 25" xfId="1035"/>
    <cellStyle name="Accent5 26" xfId="1036"/>
    <cellStyle name="Accent5 27" xfId="1037"/>
    <cellStyle name="Accent5 28" xfId="1038"/>
    <cellStyle name="Accent5 29" xfId="1039"/>
    <cellStyle name="Accent5 3" xfId="1040"/>
    <cellStyle name="Accent5 3 2" xfId="1041"/>
    <cellStyle name="Accent5 30" xfId="1042"/>
    <cellStyle name="Accent5 31" xfId="1043"/>
    <cellStyle name="Accent5 32" xfId="1044"/>
    <cellStyle name="Accent5 33" xfId="1045"/>
    <cellStyle name="Accent5 34" xfId="1046"/>
    <cellStyle name="Accent5 35" xfId="1047"/>
    <cellStyle name="Accent5 36" xfId="1048"/>
    <cellStyle name="Accent5 37" xfId="1049"/>
    <cellStyle name="Accent5 38" xfId="1050"/>
    <cellStyle name="Accent5 39" xfId="1051"/>
    <cellStyle name="Accent5 4" xfId="1052"/>
    <cellStyle name="Accent5 40" xfId="1053"/>
    <cellStyle name="Accent5 41" xfId="1054"/>
    <cellStyle name="Accent5 42" xfId="1055"/>
    <cellStyle name="Accent5 43" xfId="1056"/>
    <cellStyle name="Accent5 5" xfId="1057"/>
    <cellStyle name="Accent5 6" xfId="1058"/>
    <cellStyle name="Accent5 7" xfId="1059"/>
    <cellStyle name="Accent5 8" xfId="1060"/>
    <cellStyle name="Accent5 9" xfId="1061"/>
    <cellStyle name="Accent6" xfId="1062" builtinId="49" customBuiltin="1"/>
    <cellStyle name="Accent6 10" xfId="1063"/>
    <cellStyle name="Accent6 11" xfId="1064"/>
    <cellStyle name="Accent6 12" xfId="1065"/>
    <cellStyle name="Accent6 13" xfId="1066"/>
    <cellStyle name="Accent6 14" xfId="1067"/>
    <cellStyle name="Accent6 15" xfId="1068"/>
    <cellStyle name="Accent6 16" xfId="1069"/>
    <cellStyle name="Accent6 17" xfId="1070"/>
    <cellStyle name="Accent6 18" xfId="1071"/>
    <cellStyle name="Accent6 19" xfId="1072"/>
    <cellStyle name="Accent6 2" xfId="1073"/>
    <cellStyle name="Accent6 2 2" xfId="1074"/>
    <cellStyle name="Accent6 20" xfId="1075"/>
    <cellStyle name="Accent6 21" xfId="1076"/>
    <cellStyle name="Accent6 22" xfId="1077"/>
    <cellStyle name="Accent6 23" xfId="1078"/>
    <cellStyle name="Accent6 24" xfId="1079"/>
    <cellStyle name="Accent6 25" xfId="1080"/>
    <cellStyle name="Accent6 26" xfId="1081"/>
    <cellStyle name="Accent6 27" xfId="1082"/>
    <cellStyle name="Accent6 28" xfId="1083"/>
    <cellStyle name="Accent6 29" xfId="1084"/>
    <cellStyle name="Accent6 3" xfId="1085"/>
    <cellStyle name="Accent6 3 2" xfId="1086"/>
    <cellStyle name="Accent6 30" xfId="1087"/>
    <cellStyle name="Accent6 31" xfId="1088"/>
    <cellStyle name="Accent6 32" xfId="1089"/>
    <cellStyle name="Accent6 33" xfId="1090"/>
    <cellStyle name="Accent6 34" xfId="1091"/>
    <cellStyle name="Accent6 35" xfId="1092"/>
    <cellStyle name="Accent6 36" xfId="1093"/>
    <cellStyle name="Accent6 37" xfId="1094"/>
    <cellStyle name="Accent6 38" xfId="1095"/>
    <cellStyle name="Accent6 39" xfId="1096"/>
    <cellStyle name="Accent6 4" xfId="1097"/>
    <cellStyle name="Accent6 40" xfId="1098"/>
    <cellStyle name="Accent6 41" xfId="1099"/>
    <cellStyle name="Accent6 42" xfId="1100"/>
    <cellStyle name="Accent6 43" xfId="1101"/>
    <cellStyle name="Accent6 5" xfId="1102"/>
    <cellStyle name="Accent6 6" xfId="1103"/>
    <cellStyle name="Accent6 7" xfId="1104"/>
    <cellStyle name="Accent6 8" xfId="1105"/>
    <cellStyle name="Accent6 9" xfId="1106"/>
    <cellStyle name="AggblueBoldCels" xfId="1107"/>
    <cellStyle name="AggblueBoldCels 2" xfId="1108"/>
    <cellStyle name="AggblueCels" xfId="1109"/>
    <cellStyle name="AggblueCels 2" xfId="1110"/>
    <cellStyle name="AggblueCels_1x" xfId="1111"/>
    <cellStyle name="AggBoldCells" xfId="1112"/>
    <cellStyle name="AggBoldCells 2" xfId="1113"/>
    <cellStyle name="AggCels" xfId="1114"/>
    <cellStyle name="AggCels 2" xfId="1115"/>
    <cellStyle name="AggGreen" xfId="1116"/>
    <cellStyle name="AggGreen 2" xfId="1117"/>
    <cellStyle name="AggGreen_Bbdr" xfId="1118"/>
    <cellStyle name="AggGreen12" xfId="1119"/>
    <cellStyle name="AggGreen12 2" xfId="1120"/>
    <cellStyle name="AggOrange" xfId="1121"/>
    <cellStyle name="AggOrange 2" xfId="1122"/>
    <cellStyle name="AggOrange_B_border" xfId="1123"/>
    <cellStyle name="AggOrange9" xfId="1124"/>
    <cellStyle name="AggOrange9 2" xfId="1125"/>
    <cellStyle name="AggOrangeLB_2x" xfId="1126"/>
    <cellStyle name="AggOrangeLBorder" xfId="1127"/>
    <cellStyle name="AggOrangeLBorder 2" xfId="1128"/>
    <cellStyle name="AggOrangeRBorder" xfId="1129"/>
    <cellStyle name="AggOrangeRBorder 2" xfId="1130"/>
    <cellStyle name="Akzent1" xfId="1131"/>
    <cellStyle name="Akzent2" xfId="1132"/>
    <cellStyle name="Akzent3" xfId="1133"/>
    <cellStyle name="Akzent4" xfId="1134"/>
    <cellStyle name="Akzent5" xfId="1135"/>
    <cellStyle name="Akzent6" xfId="1136"/>
    <cellStyle name="Ausgabe" xfId="1137"/>
    <cellStyle name="Bad" xfId="1138" builtinId="27" customBuiltin="1"/>
    <cellStyle name="Bad 10" xfId="1139"/>
    <cellStyle name="Bad 11" xfId="1140"/>
    <cellStyle name="Bad 12" xfId="1141"/>
    <cellStyle name="Bad 13" xfId="1142"/>
    <cellStyle name="Bad 14" xfId="1143"/>
    <cellStyle name="Bad 15" xfId="1144"/>
    <cellStyle name="Bad 16" xfId="1145"/>
    <cellStyle name="Bad 17" xfId="1146"/>
    <cellStyle name="Bad 18" xfId="1147"/>
    <cellStyle name="Bad 19" xfId="1148"/>
    <cellStyle name="Bad 2" xfId="1149"/>
    <cellStyle name="Bad 2 2" xfId="1150"/>
    <cellStyle name="Bad 20" xfId="1151"/>
    <cellStyle name="Bad 21" xfId="1152"/>
    <cellStyle name="Bad 22" xfId="1153"/>
    <cellStyle name="Bad 23" xfId="1154"/>
    <cellStyle name="Bad 24" xfId="1155"/>
    <cellStyle name="Bad 25" xfId="1156"/>
    <cellStyle name="Bad 26" xfId="1157"/>
    <cellStyle name="Bad 27" xfId="1158"/>
    <cellStyle name="Bad 28" xfId="1159"/>
    <cellStyle name="Bad 29" xfId="1160"/>
    <cellStyle name="Bad 3" xfId="1161"/>
    <cellStyle name="Bad 3 2" xfId="1162"/>
    <cellStyle name="Bad 30" xfId="1163"/>
    <cellStyle name="Bad 31" xfId="1164"/>
    <cellStyle name="Bad 32" xfId="1165"/>
    <cellStyle name="Bad 33" xfId="1166"/>
    <cellStyle name="Bad 34" xfId="1167"/>
    <cellStyle name="Bad 35" xfId="1168"/>
    <cellStyle name="Bad 36" xfId="1169"/>
    <cellStyle name="Bad 37" xfId="1170"/>
    <cellStyle name="Bad 38" xfId="1171"/>
    <cellStyle name="Bad 39" xfId="1172"/>
    <cellStyle name="Bad 4" xfId="1173"/>
    <cellStyle name="Bad 40" xfId="1174"/>
    <cellStyle name="Bad 41" xfId="1175"/>
    <cellStyle name="Bad 42" xfId="1176"/>
    <cellStyle name="Bad 43" xfId="1177"/>
    <cellStyle name="Bad 44" xfId="1178"/>
    <cellStyle name="Bad 5" xfId="1179"/>
    <cellStyle name="Bad 6" xfId="1180"/>
    <cellStyle name="Bad 7" xfId="1181"/>
    <cellStyle name="Bad 8" xfId="1182"/>
    <cellStyle name="Bad 9" xfId="1183"/>
    <cellStyle name="Berechnung" xfId="1184"/>
    <cellStyle name="Bold GHG Numbers (0.00)" xfId="1185"/>
    <cellStyle name="Calculation" xfId="1186" builtinId="22" customBuiltin="1"/>
    <cellStyle name="Calculation 10" xfId="1187"/>
    <cellStyle name="Calculation 11" xfId="1188"/>
    <cellStyle name="Calculation 12" xfId="1189"/>
    <cellStyle name="Calculation 13" xfId="1190"/>
    <cellStyle name="Calculation 14" xfId="1191"/>
    <cellStyle name="Calculation 15" xfId="1192"/>
    <cellStyle name="Calculation 16" xfId="1193"/>
    <cellStyle name="Calculation 17" xfId="1194"/>
    <cellStyle name="Calculation 18" xfId="1195"/>
    <cellStyle name="Calculation 19" xfId="1196"/>
    <cellStyle name="Calculation 2" xfId="1197"/>
    <cellStyle name="Calculation 2 2" xfId="1198"/>
    <cellStyle name="Calculation 20" xfId="1199"/>
    <cellStyle name="Calculation 21" xfId="1200"/>
    <cellStyle name="Calculation 22" xfId="1201"/>
    <cellStyle name="Calculation 23" xfId="1202"/>
    <cellStyle name="Calculation 24" xfId="1203"/>
    <cellStyle name="Calculation 25" xfId="1204"/>
    <cellStyle name="Calculation 26" xfId="1205"/>
    <cellStyle name="Calculation 27" xfId="1206"/>
    <cellStyle name="Calculation 28" xfId="1207"/>
    <cellStyle name="Calculation 29" xfId="1208"/>
    <cellStyle name="Calculation 3" xfId="1209"/>
    <cellStyle name="Calculation 3 2" xfId="1210"/>
    <cellStyle name="Calculation 30" xfId="1211"/>
    <cellStyle name="Calculation 31" xfId="1212"/>
    <cellStyle name="Calculation 32" xfId="1213"/>
    <cellStyle name="Calculation 33" xfId="1214"/>
    <cellStyle name="Calculation 34" xfId="1215"/>
    <cellStyle name="Calculation 35" xfId="1216"/>
    <cellStyle name="Calculation 36" xfId="1217"/>
    <cellStyle name="Calculation 37" xfId="1218"/>
    <cellStyle name="Calculation 38" xfId="1219"/>
    <cellStyle name="Calculation 39" xfId="1220"/>
    <cellStyle name="Calculation 4" xfId="1221"/>
    <cellStyle name="Calculation 40" xfId="1222"/>
    <cellStyle name="Calculation 41" xfId="1223"/>
    <cellStyle name="Calculation 42" xfId="1224"/>
    <cellStyle name="Calculation 43" xfId="1225"/>
    <cellStyle name="Calculation 5" xfId="1226"/>
    <cellStyle name="Calculation 6" xfId="1227"/>
    <cellStyle name="Calculation 7" xfId="1228"/>
    <cellStyle name="Calculation 8" xfId="1229"/>
    <cellStyle name="Calculation 9" xfId="1230"/>
    <cellStyle name="Check Cell" xfId="1231" builtinId="23" customBuiltin="1"/>
    <cellStyle name="Check Cell 10" xfId="1232"/>
    <cellStyle name="Check Cell 11" xfId="1233"/>
    <cellStyle name="Check Cell 12" xfId="1234"/>
    <cellStyle name="Check Cell 13" xfId="1235"/>
    <cellStyle name="Check Cell 14" xfId="1236"/>
    <cellStyle name="Check Cell 15" xfId="1237"/>
    <cellStyle name="Check Cell 16" xfId="1238"/>
    <cellStyle name="Check Cell 17" xfId="1239"/>
    <cellStyle name="Check Cell 18" xfId="1240"/>
    <cellStyle name="Check Cell 19" xfId="1241"/>
    <cellStyle name="Check Cell 2" xfId="1242"/>
    <cellStyle name="Check Cell 2 2" xfId="1243"/>
    <cellStyle name="Check Cell 20" xfId="1244"/>
    <cellStyle name="Check Cell 21" xfId="1245"/>
    <cellStyle name="Check Cell 22" xfId="1246"/>
    <cellStyle name="Check Cell 23" xfId="1247"/>
    <cellStyle name="Check Cell 24" xfId="1248"/>
    <cellStyle name="Check Cell 25" xfId="1249"/>
    <cellStyle name="Check Cell 26" xfId="1250"/>
    <cellStyle name="Check Cell 27" xfId="1251"/>
    <cellStyle name="Check Cell 28" xfId="1252"/>
    <cellStyle name="Check Cell 29" xfId="1253"/>
    <cellStyle name="Check Cell 3" xfId="1254"/>
    <cellStyle name="Check Cell 3 2" xfId="1255"/>
    <cellStyle name="Check Cell 30" xfId="1256"/>
    <cellStyle name="Check Cell 31" xfId="1257"/>
    <cellStyle name="Check Cell 32" xfId="1258"/>
    <cellStyle name="Check Cell 33" xfId="1259"/>
    <cellStyle name="Check Cell 34" xfId="1260"/>
    <cellStyle name="Check Cell 35" xfId="1261"/>
    <cellStyle name="Check Cell 36" xfId="1262"/>
    <cellStyle name="Check Cell 37" xfId="1263"/>
    <cellStyle name="Check Cell 38" xfId="1264"/>
    <cellStyle name="Check Cell 39" xfId="1265"/>
    <cellStyle name="Check Cell 4" xfId="1266"/>
    <cellStyle name="Check Cell 40" xfId="1267"/>
    <cellStyle name="Check Cell 41" xfId="1268"/>
    <cellStyle name="Check Cell 42" xfId="1269"/>
    <cellStyle name="Check Cell 43" xfId="1270"/>
    <cellStyle name="Check Cell 5" xfId="1271"/>
    <cellStyle name="Check Cell 6" xfId="1272"/>
    <cellStyle name="Check Cell 7" xfId="1273"/>
    <cellStyle name="Check Cell 8" xfId="1274"/>
    <cellStyle name="Check Cell 9" xfId="1275"/>
    <cellStyle name="coin" xfId="1276"/>
    <cellStyle name="Comma 14" xfId="1277"/>
    <cellStyle name="Comma 2" xfId="1278"/>
    <cellStyle name="Comma 2 10" xfId="1279"/>
    <cellStyle name="Comma 2 11" xfId="1280"/>
    <cellStyle name="Comma 2 12" xfId="1281"/>
    <cellStyle name="Comma 2 13" xfId="1282"/>
    <cellStyle name="Comma 2 14" xfId="1283"/>
    <cellStyle name="Comma 2 15" xfId="1284"/>
    <cellStyle name="Comma 2 16" xfId="1285"/>
    <cellStyle name="Comma 2 2" xfId="1286"/>
    <cellStyle name="Comma 2 2 2" xfId="1287"/>
    <cellStyle name="Comma 2 2 2 2" xfId="1288"/>
    <cellStyle name="Comma 2 2 2 3" xfId="1289"/>
    <cellStyle name="Comma 2 2 2 4" xfId="1290"/>
    <cellStyle name="Comma 2 2 2 4 2" xfId="1291"/>
    <cellStyle name="Comma 2 2 2 4 3" xfId="1292"/>
    <cellStyle name="Comma 2 2 2 5" xfId="1293"/>
    <cellStyle name="Comma 2 2 2 6" xfId="1294"/>
    <cellStyle name="Comma 2 2 3" xfId="1295"/>
    <cellStyle name="Comma 2 2 3 2" xfId="1296"/>
    <cellStyle name="Comma 2 2 3 3" xfId="1297"/>
    <cellStyle name="Comma 2 2 3 4" xfId="1298"/>
    <cellStyle name="Comma 2 2 3 5" xfId="1299"/>
    <cellStyle name="Comma 2 2 4" xfId="1300"/>
    <cellStyle name="Comma 2 2 4 2" xfId="1301"/>
    <cellStyle name="Comma 2 2 4 3" xfId="1302"/>
    <cellStyle name="Comma 2 2 5" xfId="1303"/>
    <cellStyle name="Comma 2 2 6" xfId="1304"/>
    <cellStyle name="Comma 2 2 6 2" xfId="1305"/>
    <cellStyle name="Comma 2 2 6 3" xfId="1306"/>
    <cellStyle name="Comma 2 2 7" xfId="1307"/>
    <cellStyle name="Comma 2 2 8" xfId="1308"/>
    <cellStyle name="Comma 2 3" xfId="1309"/>
    <cellStyle name="Comma 2 3 2" xfId="1310"/>
    <cellStyle name="Comma 2 3 2 2" xfId="1311"/>
    <cellStyle name="Comma 2 3 2 3" xfId="1312"/>
    <cellStyle name="Comma 2 3 2 4" xfId="1313"/>
    <cellStyle name="Comma 2 3 2 4 2" xfId="1314"/>
    <cellStyle name="Comma 2 3 2 4 3" xfId="1315"/>
    <cellStyle name="Comma 2 3 2 5" xfId="1316"/>
    <cellStyle name="Comma 2 3 3" xfId="1317"/>
    <cellStyle name="Comma 2 3 3 2" xfId="1318"/>
    <cellStyle name="Comma 2 3 3 3" xfId="1319"/>
    <cellStyle name="Comma 2 3 3 4" xfId="1320"/>
    <cellStyle name="Comma 2 3 4" xfId="1321"/>
    <cellStyle name="Comma 2 3 4 2" xfId="1322"/>
    <cellStyle name="Comma 2 3 5" xfId="1323"/>
    <cellStyle name="Comma 2 3 6" xfId="1324"/>
    <cellStyle name="Comma 2 3 7" xfId="1325"/>
    <cellStyle name="Comma 2 4" xfId="1326"/>
    <cellStyle name="Comma 2 4 2" xfId="1327"/>
    <cellStyle name="Comma 2 4 3" xfId="1328"/>
    <cellStyle name="Comma 2 4 4" xfId="1329"/>
    <cellStyle name="Comma 2 4 4 2" xfId="1330"/>
    <cellStyle name="Comma 2 4 4 3" xfId="1331"/>
    <cellStyle name="Comma 2 4 5" xfId="1332"/>
    <cellStyle name="Comma 2 4 6" xfId="1333"/>
    <cellStyle name="Comma 2 5" xfId="1334"/>
    <cellStyle name="Comma 2 5 2" xfId="1335"/>
    <cellStyle name="Comma 2 5 3" xfId="1336"/>
    <cellStyle name="Comma 2 5 4" xfId="1337"/>
    <cellStyle name="Comma 2 6" xfId="1338"/>
    <cellStyle name="Comma 2 6 2" xfId="1339"/>
    <cellStyle name="Comma 2 7" xfId="1340"/>
    <cellStyle name="Comma 2 7 2" xfId="1341"/>
    <cellStyle name="Comma 2 8" xfId="1342"/>
    <cellStyle name="Comma 2 8 2" xfId="1343"/>
    <cellStyle name="Comma 2 8 3" xfId="1344"/>
    <cellStyle name="Comma 2 9" xfId="1345"/>
    <cellStyle name="Comma 2_PrimaryEnergyPrices_TIMES" xfId="1346"/>
    <cellStyle name="Comma 3" xfId="1347"/>
    <cellStyle name="Comma 3 2" xfId="1348"/>
    <cellStyle name="Comma 3 2 2" xfId="1349"/>
    <cellStyle name="Comma 3 3" xfId="1350"/>
    <cellStyle name="Comma 3 3 2" xfId="1351"/>
    <cellStyle name="Comma 3 4" xfId="1352"/>
    <cellStyle name="Comma 3 5" xfId="1353"/>
    <cellStyle name="Comma 4" xfId="1354"/>
    <cellStyle name="Comma 4 2" xfId="1355"/>
    <cellStyle name="Comma 4 3" xfId="1356"/>
    <cellStyle name="Comma 5 2" xfId="1357"/>
    <cellStyle name="Comma 5 3" xfId="1358"/>
    <cellStyle name="Comma 5 3 2" xfId="1359"/>
    <cellStyle name="Comma 8 2" xfId="1360"/>
    <cellStyle name="Comma 8 2 2" xfId="1361"/>
    <cellStyle name="Constants" xfId="1362"/>
    <cellStyle name="Currency 2" xfId="1363"/>
    <cellStyle name="CustomCellsOrange" xfId="1364"/>
    <cellStyle name="CustomizationCells" xfId="1365"/>
    <cellStyle name="CustomizationGreenCells" xfId="1366"/>
    <cellStyle name="DocBox_EmptyRow" xfId="1367"/>
    <cellStyle name="donn_normal" xfId="1368"/>
    <cellStyle name="Eingabe" xfId="1369"/>
    <cellStyle name="Empty_B_border" xfId="1370"/>
    <cellStyle name="ent_col_ser" xfId="1371"/>
    <cellStyle name="entete_source" xfId="1372"/>
    <cellStyle name="Ergebnis" xfId="1373"/>
    <cellStyle name="Erklärender Text" xfId="1374"/>
    <cellStyle name="Estilo 1" xfId="1375"/>
    <cellStyle name="Euro" xfId="1376"/>
    <cellStyle name="Euro 10" xfId="1377"/>
    <cellStyle name="Euro 10 2" xfId="1378"/>
    <cellStyle name="Euro 11" xfId="1379"/>
    <cellStyle name="Euro 11 2" xfId="1380"/>
    <cellStyle name="Euro 12" xfId="1381"/>
    <cellStyle name="Euro 13" xfId="1382"/>
    <cellStyle name="Euro 14" xfId="1383"/>
    <cellStyle name="Euro 15" xfId="1384"/>
    <cellStyle name="Euro 16" xfId="1385"/>
    <cellStyle name="Euro 17" xfId="1386"/>
    <cellStyle name="Euro 18" xfId="1387"/>
    <cellStyle name="Euro 19" xfId="1388"/>
    <cellStyle name="Euro 2" xfId="1389"/>
    <cellStyle name="Euro 2 2" xfId="1390"/>
    <cellStyle name="Euro 2 2 2" xfId="1391"/>
    <cellStyle name="Euro 2 2 3" xfId="1392"/>
    <cellStyle name="Euro 2 2 4" xfId="1393"/>
    <cellStyle name="Euro 2 2 5" xfId="1394"/>
    <cellStyle name="Euro 2 3" xfId="1395"/>
    <cellStyle name="Euro 2 4" xfId="1396"/>
    <cellStyle name="Euro 2 5" xfId="1397"/>
    <cellStyle name="Euro 2 6" xfId="1398"/>
    <cellStyle name="Euro 20" xfId="1399"/>
    <cellStyle name="Euro 21" xfId="1400"/>
    <cellStyle name="Euro 22" xfId="1401"/>
    <cellStyle name="Euro 23" xfId="1402"/>
    <cellStyle name="Euro 24" xfId="1403"/>
    <cellStyle name="Euro 25" xfId="1404"/>
    <cellStyle name="Euro 26" xfId="1405"/>
    <cellStyle name="Euro 27" xfId="1406"/>
    <cellStyle name="Euro 28" xfId="1407"/>
    <cellStyle name="Euro 29" xfId="1408"/>
    <cellStyle name="Euro 3" xfId="1409"/>
    <cellStyle name="Euro 3 2" xfId="1410"/>
    <cellStyle name="Euro 3 2 2" xfId="1411"/>
    <cellStyle name="Euro 3 3" xfId="1412"/>
    <cellStyle name="Euro 3 3 2" xfId="1413"/>
    <cellStyle name="Euro 3 3 3" xfId="1414"/>
    <cellStyle name="Euro 3 3 4" xfId="1415"/>
    <cellStyle name="Euro 3 4" xfId="1416"/>
    <cellStyle name="Euro 3 5" xfId="1417"/>
    <cellStyle name="Euro 3 6" xfId="1418"/>
    <cellStyle name="Euro 3 7" xfId="1419"/>
    <cellStyle name="Euro 3_PrimaryEnergyPrices_TIMES" xfId="1420"/>
    <cellStyle name="Euro 30" xfId="1421"/>
    <cellStyle name="Euro 31" xfId="1422"/>
    <cellStyle name="Euro 32" xfId="1423"/>
    <cellStyle name="Euro 33" xfId="1424"/>
    <cellStyle name="Euro 34" xfId="1425"/>
    <cellStyle name="Euro 35" xfId="1426"/>
    <cellStyle name="Euro 36" xfId="1427"/>
    <cellStyle name="Euro 37" xfId="1428"/>
    <cellStyle name="Euro 38" xfId="1429"/>
    <cellStyle name="Euro 39" xfId="1430"/>
    <cellStyle name="Euro 4" xfId="1431"/>
    <cellStyle name="Euro 4 2" xfId="1432"/>
    <cellStyle name="Euro 4 2 2" xfId="1433"/>
    <cellStyle name="Euro 4 3" xfId="1434"/>
    <cellStyle name="Euro 4 3 2" xfId="1435"/>
    <cellStyle name="Euro 4 3 3" xfId="1436"/>
    <cellStyle name="Euro 4 3 4" xfId="1437"/>
    <cellStyle name="Euro 4 4" xfId="1438"/>
    <cellStyle name="Euro 4 5" xfId="1439"/>
    <cellStyle name="Euro 40" xfId="1440"/>
    <cellStyle name="Euro 41" xfId="1441"/>
    <cellStyle name="Euro 42" xfId="1442"/>
    <cellStyle name="Euro 43" xfId="1443"/>
    <cellStyle name="Euro 44" xfId="1444"/>
    <cellStyle name="Euro 45" xfId="1445"/>
    <cellStyle name="Euro 46" xfId="1446"/>
    <cellStyle name="Euro 47" xfId="1447"/>
    <cellStyle name="Euro 48" xfId="1448"/>
    <cellStyle name="Euro 48 2" xfId="1449"/>
    <cellStyle name="Euro 49" xfId="1450"/>
    <cellStyle name="Euro 49 2" xfId="1451"/>
    <cellStyle name="Euro 5" xfId="1452"/>
    <cellStyle name="Euro 5 2" xfId="1453"/>
    <cellStyle name="Euro 5 3" xfId="1454"/>
    <cellStyle name="Euro 5 4" xfId="1455"/>
    <cellStyle name="Euro 50" xfId="1456"/>
    <cellStyle name="Euro 50 2" xfId="1457"/>
    <cellStyle name="Euro 51" xfId="1458"/>
    <cellStyle name="Euro 51 2" xfId="1459"/>
    <cellStyle name="Euro 52" xfId="1460"/>
    <cellStyle name="Euro 52 2" xfId="1461"/>
    <cellStyle name="Euro 53" xfId="1462"/>
    <cellStyle name="Euro 53 2" xfId="1463"/>
    <cellStyle name="Euro 54" xfId="1464"/>
    <cellStyle name="Euro 54 2" xfId="1465"/>
    <cellStyle name="Euro 55" xfId="1466"/>
    <cellStyle name="Euro 55 2" xfId="1467"/>
    <cellStyle name="Euro 56" xfId="1468"/>
    <cellStyle name="Euro 56 2" xfId="1469"/>
    <cellStyle name="Euro 57" xfId="1470"/>
    <cellStyle name="Euro 58" xfId="1471"/>
    <cellStyle name="Euro 59" xfId="1472"/>
    <cellStyle name="Euro 6" xfId="1473"/>
    <cellStyle name="Euro 6 2" xfId="1474"/>
    <cellStyle name="Euro 6 3" xfId="1475"/>
    <cellStyle name="Euro 60" xfId="1476"/>
    <cellStyle name="Euro 7" xfId="1477"/>
    <cellStyle name="Euro 7 2" xfId="1478"/>
    <cellStyle name="Euro 7 3" xfId="1479"/>
    <cellStyle name="Euro 8" xfId="1480"/>
    <cellStyle name="Euro 8 2" xfId="1481"/>
    <cellStyle name="Euro 9" xfId="1482"/>
    <cellStyle name="Euro 9 2" xfId="1483"/>
    <cellStyle name="Euro_Potentials in TIMES" xfId="1484"/>
    <cellStyle name="Explanatory Text" xfId="1485" builtinId="53" customBuiltin="1"/>
    <cellStyle name="Explanatory Text 10" xfId="1486"/>
    <cellStyle name="Explanatory Text 11" xfId="1487"/>
    <cellStyle name="Explanatory Text 12" xfId="1488"/>
    <cellStyle name="Explanatory Text 13" xfId="1489"/>
    <cellStyle name="Explanatory Text 14" xfId="1490"/>
    <cellStyle name="Explanatory Text 15" xfId="1491"/>
    <cellStyle name="Explanatory Text 16" xfId="1492"/>
    <cellStyle name="Explanatory Text 17" xfId="1493"/>
    <cellStyle name="Explanatory Text 18" xfId="1494"/>
    <cellStyle name="Explanatory Text 19" xfId="1495"/>
    <cellStyle name="Explanatory Text 2" xfId="1496"/>
    <cellStyle name="Explanatory Text 2 2" xfId="1497"/>
    <cellStyle name="Explanatory Text 20" xfId="1498"/>
    <cellStyle name="Explanatory Text 21" xfId="1499"/>
    <cellStyle name="Explanatory Text 22" xfId="1500"/>
    <cellStyle name="Explanatory Text 23" xfId="1501"/>
    <cellStyle name="Explanatory Text 24" xfId="1502"/>
    <cellStyle name="Explanatory Text 25" xfId="1503"/>
    <cellStyle name="Explanatory Text 26" xfId="1504"/>
    <cellStyle name="Explanatory Text 27" xfId="1505"/>
    <cellStyle name="Explanatory Text 28" xfId="1506"/>
    <cellStyle name="Explanatory Text 29" xfId="1507"/>
    <cellStyle name="Explanatory Text 3" xfId="1508"/>
    <cellStyle name="Explanatory Text 3 2" xfId="1509"/>
    <cellStyle name="Explanatory Text 30" xfId="1510"/>
    <cellStyle name="Explanatory Text 31" xfId="1511"/>
    <cellStyle name="Explanatory Text 32" xfId="1512"/>
    <cellStyle name="Explanatory Text 33" xfId="1513"/>
    <cellStyle name="Explanatory Text 34" xfId="1514"/>
    <cellStyle name="Explanatory Text 35" xfId="1515"/>
    <cellStyle name="Explanatory Text 36" xfId="1516"/>
    <cellStyle name="Explanatory Text 37" xfId="1517"/>
    <cellStyle name="Explanatory Text 38" xfId="1518"/>
    <cellStyle name="Explanatory Text 39" xfId="1519"/>
    <cellStyle name="Explanatory Text 4" xfId="1520"/>
    <cellStyle name="Explanatory Text 40" xfId="1521"/>
    <cellStyle name="Explanatory Text 41" xfId="1522"/>
    <cellStyle name="Explanatory Text 42" xfId="1523"/>
    <cellStyle name="Explanatory Text 43" xfId="1524"/>
    <cellStyle name="Explanatory Text 5" xfId="1525"/>
    <cellStyle name="Explanatory Text 6" xfId="1526"/>
    <cellStyle name="Explanatory Text 7" xfId="1527"/>
    <cellStyle name="Explanatory Text 8" xfId="1528"/>
    <cellStyle name="Explanatory Text 9" xfId="1529"/>
    <cellStyle name="Float" xfId="1530"/>
    <cellStyle name="Float 2" xfId="1531"/>
    <cellStyle name="Float 3" xfId="1532"/>
    <cellStyle name="Float 4" xfId="1533"/>
    <cellStyle name="Good" xfId="1534" builtinId="26" customBuiltin="1"/>
    <cellStyle name="Good 10" xfId="1535"/>
    <cellStyle name="Good 11" xfId="1536"/>
    <cellStyle name="Good 12" xfId="1537"/>
    <cellStyle name="Good 13" xfId="1538"/>
    <cellStyle name="Good 14" xfId="1539"/>
    <cellStyle name="Good 15" xfId="1540"/>
    <cellStyle name="Good 16" xfId="1541"/>
    <cellStyle name="Good 17" xfId="1542"/>
    <cellStyle name="Good 18" xfId="1543"/>
    <cellStyle name="Good 19" xfId="1544"/>
    <cellStyle name="Good 2" xfId="1545"/>
    <cellStyle name="Good 2 2" xfId="1546"/>
    <cellStyle name="Good 2 3" xfId="1547"/>
    <cellStyle name="Good 20" xfId="1548"/>
    <cellStyle name="Good 21" xfId="1549"/>
    <cellStyle name="Good 22" xfId="1550"/>
    <cellStyle name="Good 23" xfId="1551"/>
    <cellStyle name="Good 24" xfId="1552"/>
    <cellStyle name="Good 25" xfId="1553"/>
    <cellStyle name="Good 26" xfId="1554"/>
    <cellStyle name="Good 27" xfId="1555"/>
    <cellStyle name="Good 28" xfId="1556"/>
    <cellStyle name="Good 29" xfId="1557"/>
    <cellStyle name="Good 3" xfId="1558"/>
    <cellStyle name="Good 3 2" xfId="1559"/>
    <cellStyle name="Good 30" xfId="1560"/>
    <cellStyle name="Good 31" xfId="1561"/>
    <cellStyle name="Good 32" xfId="1562"/>
    <cellStyle name="Good 33" xfId="1563"/>
    <cellStyle name="Good 34" xfId="1564"/>
    <cellStyle name="Good 35" xfId="1565"/>
    <cellStyle name="Good 36" xfId="1566"/>
    <cellStyle name="Good 37" xfId="1567"/>
    <cellStyle name="Good 38" xfId="1568"/>
    <cellStyle name="Good 39" xfId="1569"/>
    <cellStyle name="Good 4" xfId="1570"/>
    <cellStyle name="Good 40" xfId="1571"/>
    <cellStyle name="Good 41" xfId="1572"/>
    <cellStyle name="Good 42" xfId="1573"/>
    <cellStyle name="Good 5" xfId="1574"/>
    <cellStyle name="Good 6" xfId="1575"/>
    <cellStyle name="Good 7" xfId="1576"/>
    <cellStyle name="Good 8" xfId="1577"/>
    <cellStyle name="Good 9" xfId="1578"/>
    <cellStyle name="Gut" xfId="1579"/>
    <cellStyle name="Heading 1" xfId="1580" builtinId="16" customBuiltin="1"/>
    <cellStyle name="Heading 1 10" xfId="1581"/>
    <cellStyle name="Heading 1 11" xfId="1582"/>
    <cellStyle name="Heading 1 12" xfId="1583"/>
    <cellStyle name="Heading 1 13" xfId="1584"/>
    <cellStyle name="Heading 1 14" xfId="1585"/>
    <cellStyle name="Heading 1 15" xfId="1586"/>
    <cellStyle name="Heading 1 16" xfId="1587"/>
    <cellStyle name="Heading 1 17" xfId="1588"/>
    <cellStyle name="Heading 1 18" xfId="1589"/>
    <cellStyle name="Heading 1 19" xfId="1590"/>
    <cellStyle name="Heading 1 2" xfId="1591"/>
    <cellStyle name="Heading 1 2 2" xfId="1592"/>
    <cellStyle name="Heading 1 20" xfId="1593"/>
    <cellStyle name="Heading 1 21" xfId="1594"/>
    <cellStyle name="Heading 1 22" xfId="1595"/>
    <cellStyle name="Heading 1 23" xfId="1596"/>
    <cellStyle name="Heading 1 24" xfId="1597"/>
    <cellStyle name="Heading 1 25" xfId="1598"/>
    <cellStyle name="Heading 1 26" xfId="1599"/>
    <cellStyle name="Heading 1 27" xfId="1600"/>
    <cellStyle name="Heading 1 28" xfId="1601"/>
    <cellStyle name="Heading 1 29" xfId="1602"/>
    <cellStyle name="Heading 1 3" xfId="1603"/>
    <cellStyle name="Heading 1 3 2" xfId="1604"/>
    <cellStyle name="Heading 1 30" xfId="1605"/>
    <cellStyle name="Heading 1 31" xfId="1606"/>
    <cellStyle name="Heading 1 32" xfId="1607"/>
    <cellStyle name="Heading 1 33" xfId="1608"/>
    <cellStyle name="Heading 1 34" xfId="1609"/>
    <cellStyle name="Heading 1 35" xfId="1610"/>
    <cellStyle name="Heading 1 36" xfId="1611"/>
    <cellStyle name="Heading 1 37" xfId="1612"/>
    <cellStyle name="Heading 1 38" xfId="1613"/>
    <cellStyle name="Heading 1 39" xfId="1614"/>
    <cellStyle name="Heading 1 4" xfId="1615"/>
    <cellStyle name="Heading 1 40" xfId="1616"/>
    <cellStyle name="Heading 1 41" xfId="1617"/>
    <cellStyle name="Heading 1 5" xfId="1618"/>
    <cellStyle name="Heading 1 6" xfId="1619"/>
    <cellStyle name="Heading 1 7" xfId="1620"/>
    <cellStyle name="Heading 1 8" xfId="1621"/>
    <cellStyle name="Heading 1 9" xfId="1622"/>
    <cellStyle name="Heading 2" xfId="1623" builtinId="17" customBuiltin="1"/>
    <cellStyle name="Heading 2 10" xfId="1624"/>
    <cellStyle name="Heading 2 11" xfId="1625"/>
    <cellStyle name="Heading 2 12" xfId="1626"/>
    <cellStyle name="Heading 2 13" xfId="1627"/>
    <cellStyle name="Heading 2 14" xfId="1628"/>
    <cellStyle name="Heading 2 15" xfId="1629"/>
    <cellStyle name="Heading 2 16" xfId="1630"/>
    <cellStyle name="Heading 2 17" xfId="1631"/>
    <cellStyle name="Heading 2 18" xfId="1632"/>
    <cellStyle name="Heading 2 19" xfId="1633"/>
    <cellStyle name="Heading 2 2" xfId="1634"/>
    <cellStyle name="Heading 2 2 2" xfId="1635"/>
    <cellStyle name="Heading 2 20" xfId="1636"/>
    <cellStyle name="Heading 2 21" xfId="1637"/>
    <cellStyle name="Heading 2 22" xfId="1638"/>
    <cellStyle name="Heading 2 23" xfId="1639"/>
    <cellStyle name="Heading 2 24" xfId="1640"/>
    <cellStyle name="Heading 2 25" xfId="1641"/>
    <cellStyle name="Heading 2 26" xfId="1642"/>
    <cellStyle name="Heading 2 27" xfId="1643"/>
    <cellStyle name="Heading 2 28" xfId="1644"/>
    <cellStyle name="Heading 2 29" xfId="1645"/>
    <cellStyle name="Heading 2 3" xfId="1646"/>
    <cellStyle name="Heading 2 3 2" xfId="1647"/>
    <cellStyle name="Heading 2 30" xfId="1648"/>
    <cellStyle name="Heading 2 31" xfId="1649"/>
    <cellStyle name="Heading 2 32" xfId="1650"/>
    <cellStyle name="Heading 2 33" xfId="1651"/>
    <cellStyle name="Heading 2 34" xfId="1652"/>
    <cellStyle name="Heading 2 35" xfId="1653"/>
    <cellStyle name="Heading 2 36" xfId="1654"/>
    <cellStyle name="Heading 2 37" xfId="1655"/>
    <cellStyle name="Heading 2 38" xfId="1656"/>
    <cellStyle name="Heading 2 39" xfId="1657"/>
    <cellStyle name="Heading 2 4" xfId="1658"/>
    <cellStyle name="Heading 2 40" xfId="1659"/>
    <cellStyle name="Heading 2 41" xfId="1660"/>
    <cellStyle name="Heading 2 5" xfId="1661"/>
    <cellStyle name="Heading 2 6" xfId="1662"/>
    <cellStyle name="Heading 2 7" xfId="1663"/>
    <cellStyle name="Heading 2 8" xfId="1664"/>
    <cellStyle name="Heading 2 9" xfId="1665"/>
    <cellStyle name="Heading 3" xfId="1666" builtinId="18" customBuiltin="1"/>
    <cellStyle name="Heading 3 10" xfId="1667"/>
    <cellStyle name="Heading 3 11" xfId="1668"/>
    <cellStyle name="Heading 3 12" xfId="1669"/>
    <cellStyle name="Heading 3 13" xfId="1670"/>
    <cellStyle name="Heading 3 14" xfId="1671"/>
    <cellStyle name="Heading 3 15" xfId="1672"/>
    <cellStyle name="Heading 3 16" xfId="1673"/>
    <cellStyle name="Heading 3 17" xfId="1674"/>
    <cellStyle name="Heading 3 18" xfId="1675"/>
    <cellStyle name="Heading 3 19" xfId="1676"/>
    <cellStyle name="Heading 3 2" xfId="1677"/>
    <cellStyle name="Heading 3 2 2" xfId="1678"/>
    <cellStyle name="Heading 3 20" xfId="1679"/>
    <cellStyle name="Heading 3 21" xfId="1680"/>
    <cellStyle name="Heading 3 22" xfId="1681"/>
    <cellStyle name="Heading 3 23" xfId="1682"/>
    <cellStyle name="Heading 3 24" xfId="1683"/>
    <cellStyle name="Heading 3 25" xfId="1684"/>
    <cellStyle name="Heading 3 26" xfId="1685"/>
    <cellStyle name="Heading 3 27" xfId="1686"/>
    <cellStyle name="Heading 3 28" xfId="1687"/>
    <cellStyle name="Heading 3 29" xfId="1688"/>
    <cellStyle name="Heading 3 3" xfId="1689"/>
    <cellStyle name="Heading 3 3 2" xfId="1690"/>
    <cellStyle name="Heading 3 30" xfId="1691"/>
    <cellStyle name="Heading 3 31" xfId="1692"/>
    <cellStyle name="Heading 3 32" xfId="1693"/>
    <cellStyle name="Heading 3 33" xfId="1694"/>
    <cellStyle name="Heading 3 34" xfId="1695"/>
    <cellStyle name="Heading 3 35" xfId="1696"/>
    <cellStyle name="Heading 3 36" xfId="1697"/>
    <cellStyle name="Heading 3 37" xfId="1698"/>
    <cellStyle name="Heading 3 38" xfId="1699"/>
    <cellStyle name="Heading 3 39" xfId="1700"/>
    <cellStyle name="Heading 3 4" xfId="1701"/>
    <cellStyle name="Heading 3 40" xfId="1702"/>
    <cellStyle name="Heading 3 41" xfId="1703"/>
    <cellStyle name="Heading 3 5" xfId="1704"/>
    <cellStyle name="Heading 3 6" xfId="1705"/>
    <cellStyle name="Heading 3 7" xfId="1706"/>
    <cellStyle name="Heading 3 8" xfId="1707"/>
    <cellStyle name="Heading 3 9" xfId="1708"/>
    <cellStyle name="Heading 4" xfId="1709" builtinId="19" customBuiltin="1"/>
    <cellStyle name="Heading 4 10" xfId="1710"/>
    <cellStyle name="Heading 4 11" xfId="1711"/>
    <cellStyle name="Heading 4 12" xfId="1712"/>
    <cellStyle name="Heading 4 13" xfId="1713"/>
    <cellStyle name="Heading 4 14" xfId="1714"/>
    <cellStyle name="Heading 4 15" xfId="1715"/>
    <cellStyle name="Heading 4 16" xfId="1716"/>
    <cellStyle name="Heading 4 17" xfId="1717"/>
    <cellStyle name="Heading 4 18" xfId="1718"/>
    <cellStyle name="Heading 4 19" xfId="1719"/>
    <cellStyle name="Heading 4 2" xfId="1720"/>
    <cellStyle name="Heading 4 2 2" xfId="1721"/>
    <cellStyle name="Heading 4 20" xfId="1722"/>
    <cellStyle name="Heading 4 21" xfId="1723"/>
    <cellStyle name="Heading 4 22" xfId="1724"/>
    <cellStyle name="Heading 4 23" xfId="1725"/>
    <cellStyle name="Heading 4 24" xfId="1726"/>
    <cellStyle name="Heading 4 25" xfId="1727"/>
    <cellStyle name="Heading 4 26" xfId="1728"/>
    <cellStyle name="Heading 4 27" xfId="1729"/>
    <cellStyle name="Heading 4 28" xfId="1730"/>
    <cellStyle name="Heading 4 29" xfId="1731"/>
    <cellStyle name="Heading 4 3" xfId="1732"/>
    <cellStyle name="Heading 4 3 2" xfId="1733"/>
    <cellStyle name="Heading 4 30" xfId="1734"/>
    <cellStyle name="Heading 4 31" xfId="1735"/>
    <cellStyle name="Heading 4 32" xfId="1736"/>
    <cellStyle name="Heading 4 33" xfId="1737"/>
    <cellStyle name="Heading 4 34" xfId="1738"/>
    <cellStyle name="Heading 4 35" xfId="1739"/>
    <cellStyle name="Heading 4 36" xfId="1740"/>
    <cellStyle name="Heading 4 37" xfId="1741"/>
    <cellStyle name="Heading 4 38" xfId="1742"/>
    <cellStyle name="Heading 4 39" xfId="1743"/>
    <cellStyle name="Heading 4 4" xfId="1744"/>
    <cellStyle name="Heading 4 40" xfId="1745"/>
    <cellStyle name="Heading 4 41" xfId="1746"/>
    <cellStyle name="Heading 4 5" xfId="1747"/>
    <cellStyle name="Heading 4 6" xfId="1748"/>
    <cellStyle name="Heading 4 7" xfId="1749"/>
    <cellStyle name="Heading 4 8" xfId="1750"/>
    <cellStyle name="Heading 4 9" xfId="1751"/>
    <cellStyle name="Headline" xfId="1752"/>
    <cellStyle name="Hyperlink" xfId="1753" builtinId="8"/>
    <cellStyle name="Hyperlink 2" xfId="1754"/>
    <cellStyle name="Input" xfId="1755" builtinId="20" customBuiltin="1"/>
    <cellStyle name="Input 10 2" xfId="1756"/>
    <cellStyle name="Input 11 2" xfId="1757"/>
    <cellStyle name="Input 12 2" xfId="1758"/>
    <cellStyle name="Input 13 2" xfId="1759"/>
    <cellStyle name="Input 14 2" xfId="1760"/>
    <cellStyle name="Input 15 2" xfId="1761"/>
    <cellStyle name="Input 16 2" xfId="1762"/>
    <cellStyle name="Input 17 2" xfId="1763"/>
    <cellStyle name="Input 18 2" xfId="1764"/>
    <cellStyle name="Input 19 2" xfId="1765"/>
    <cellStyle name="Input 2" xfId="1766"/>
    <cellStyle name="Input 2 2" xfId="1767"/>
    <cellStyle name="Input 2 3" xfId="1768"/>
    <cellStyle name="Input 2_PrimaryEnergyPrices_TIMES" xfId="1769"/>
    <cellStyle name="Input 20 2" xfId="1770"/>
    <cellStyle name="Input 21 2" xfId="1771"/>
    <cellStyle name="Input 22 2" xfId="1772"/>
    <cellStyle name="Input 23 2" xfId="1773"/>
    <cellStyle name="Input 24 2" xfId="1774"/>
    <cellStyle name="Input 25 2" xfId="1775"/>
    <cellStyle name="Input 26 2" xfId="1776"/>
    <cellStyle name="Input 27 2" xfId="1777"/>
    <cellStyle name="Input 28 2" xfId="1778"/>
    <cellStyle name="Input 29 2" xfId="1779"/>
    <cellStyle name="Input 3" xfId="1780"/>
    <cellStyle name="Input 3 2" xfId="1781"/>
    <cellStyle name="Input 3 3" xfId="1782"/>
    <cellStyle name="Input 30 2" xfId="1783"/>
    <cellStyle name="Input 31 2" xfId="1784"/>
    <cellStyle name="Input 32 2" xfId="1785"/>
    <cellStyle name="Input 33 2" xfId="1786"/>
    <cellStyle name="Input 34" xfId="1787"/>
    <cellStyle name="Input 34 2" xfId="1788"/>
    <cellStyle name="Input 34_ELC_final" xfId="1789"/>
    <cellStyle name="Input 35" xfId="1790"/>
    <cellStyle name="Input 36" xfId="1791"/>
    <cellStyle name="Input 37" xfId="1792"/>
    <cellStyle name="Input 38" xfId="1793"/>
    <cellStyle name="Input 39" xfId="1794"/>
    <cellStyle name="Input 4 2" xfId="1795"/>
    <cellStyle name="Input 40" xfId="1796"/>
    <cellStyle name="Input 5 2" xfId="1797"/>
    <cellStyle name="Input 6 2" xfId="1798"/>
    <cellStyle name="Input 7 2" xfId="1799"/>
    <cellStyle name="Input 8 2" xfId="1800"/>
    <cellStyle name="Input 9 2" xfId="1801"/>
    <cellStyle name="InputCells" xfId="1802"/>
    <cellStyle name="InputCells12" xfId="1803"/>
    <cellStyle name="InputCells12 2" xfId="1804"/>
    <cellStyle name="InputCells12_BBorder" xfId="1805"/>
    <cellStyle name="IntCells" xfId="1806"/>
    <cellStyle name="KP_thin_border_dark_grey" xfId="1807"/>
    <cellStyle name="ligne_titre_0" xfId="1808"/>
    <cellStyle name="Linked Cell" xfId="1809" builtinId="24" customBuiltin="1"/>
    <cellStyle name="Linked Cell 10" xfId="1810"/>
    <cellStyle name="Linked Cell 11" xfId="1811"/>
    <cellStyle name="Linked Cell 12" xfId="1812"/>
    <cellStyle name="Linked Cell 13" xfId="1813"/>
    <cellStyle name="Linked Cell 14" xfId="1814"/>
    <cellStyle name="Linked Cell 15" xfId="1815"/>
    <cellStyle name="Linked Cell 16" xfId="1816"/>
    <cellStyle name="Linked Cell 17" xfId="1817"/>
    <cellStyle name="Linked Cell 18" xfId="1818"/>
    <cellStyle name="Linked Cell 19" xfId="1819"/>
    <cellStyle name="Linked Cell 2" xfId="1820"/>
    <cellStyle name="Linked Cell 2 2" xfId="1821"/>
    <cellStyle name="Linked Cell 20" xfId="1822"/>
    <cellStyle name="Linked Cell 21" xfId="1823"/>
    <cellStyle name="Linked Cell 22" xfId="1824"/>
    <cellStyle name="Linked Cell 23" xfId="1825"/>
    <cellStyle name="Linked Cell 24" xfId="1826"/>
    <cellStyle name="Linked Cell 25" xfId="1827"/>
    <cellStyle name="Linked Cell 26" xfId="1828"/>
    <cellStyle name="Linked Cell 27" xfId="1829"/>
    <cellStyle name="Linked Cell 28" xfId="1830"/>
    <cellStyle name="Linked Cell 29" xfId="1831"/>
    <cellStyle name="Linked Cell 3" xfId="1832"/>
    <cellStyle name="Linked Cell 3 2" xfId="1833"/>
    <cellStyle name="Linked Cell 30" xfId="1834"/>
    <cellStyle name="Linked Cell 31" xfId="1835"/>
    <cellStyle name="Linked Cell 32" xfId="1836"/>
    <cellStyle name="Linked Cell 33" xfId="1837"/>
    <cellStyle name="Linked Cell 34" xfId="1838"/>
    <cellStyle name="Linked Cell 35" xfId="1839"/>
    <cellStyle name="Linked Cell 36" xfId="1840"/>
    <cellStyle name="Linked Cell 37" xfId="1841"/>
    <cellStyle name="Linked Cell 38" xfId="1842"/>
    <cellStyle name="Linked Cell 39" xfId="1843"/>
    <cellStyle name="Linked Cell 4" xfId="1844"/>
    <cellStyle name="Linked Cell 40" xfId="1845"/>
    <cellStyle name="Linked Cell 41" xfId="1846"/>
    <cellStyle name="Linked Cell 5" xfId="1847"/>
    <cellStyle name="Linked Cell 6" xfId="1848"/>
    <cellStyle name="Linked Cell 7" xfId="1849"/>
    <cellStyle name="Linked Cell 8" xfId="1850"/>
    <cellStyle name="Linked Cell 9" xfId="1851"/>
    <cellStyle name="Neutral" xfId="1852" builtinId="28" customBuiltin="1"/>
    <cellStyle name="Neutral 10" xfId="1853"/>
    <cellStyle name="Neutral 11" xfId="1854"/>
    <cellStyle name="Neutral 12" xfId="1855"/>
    <cellStyle name="Neutral 13" xfId="1856"/>
    <cellStyle name="Neutral 14" xfId="1857"/>
    <cellStyle name="Neutral 15" xfId="1858"/>
    <cellStyle name="Neutral 16" xfId="1859"/>
    <cellStyle name="Neutral 17" xfId="1860"/>
    <cellStyle name="Neutral 18" xfId="1861"/>
    <cellStyle name="Neutral 19" xfId="1862"/>
    <cellStyle name="Neutral 2" xfId="1863"/>
    <cellStyle name="Neutral 2 2" xfId="1864"/>
    <cellStyle name="Neutral 20" xfId="1865"/>
    <cellStyle name="Neutral 21" xfId="1866"/>
    <cellStyle name="Neutral 22" xfId="1867"/>
    <cellStyle name="Neutral 23" xfId="1868"/>
    <cellStyle name="Neutral 24" xfId="1869"/>
    <cellStyle name="Neutral 25" xfId="1870"/>
    <cellStyle name="Neutral 26" xfId="1871"/>
    <cellStyle name="Neutral 27" xfId="1872"/>
    <cellStyle name="Neutral 28" xfId="1873"/>
    <cellStyle name="Neutral 29" xfId="1874"/>
    <cellStyle name="Neutral 3" xfId="1875"/>
    <cellStyle name="Neutral 3 2" xfId="1876"/>
    <cellStyle name="Neutral 3 3" xfId="1877"/>
    <cellStyle name="Neutral 3 4" xfId="1878"/>
    <cellStyle name="Neutral 30" xfId="1879"/>
    <cellStyle name="Neutral 31" xfId="1880"/>
    <cellStyle name="Neutral 32" xfId="1881"/>
    <cellStyle name="Neutral 33" xfId="1882"/>
    <cellStyle name="Neutral 34" xfId="1883"/>
    <cellStyle name="Neutral 35" xfId="1884"/>
    <cellStyle name="Neutral 36" xfId="1885"/>
    <cellStyle name="Neutral 37" xfId="1886"/>
    <cellStyle name="Neutral 38" xfId="1887"/>
    <cellStyle name="Neutral 39" xfId="1888"/>
    <cellStyle name="Neutral 4" xfId="1889"/>
    <cellStyle name="Neutral 4 2" xfId="1890"/>
    <cellStyle name="Neutral 40" xfId="1891"/>
    <cellStyle name="Neutral 41" xfId="1892"/>
    <cellStyle name="Neutral 42" xfId="1893"/>
    <cellStyle name="Neutral 43" xfId="1894"/>
    <cellStyle name="Neutral 5" xfId="1895"/>
    <cellStyle name="Neutral 6" xfId="1896"/>
    <cellStyle name="Neutral 7" xfId="1897"/>
    <cellStyle name="Neutral 8" xfId="1898"/>
    <cellStyle name="Neutral 9" xfId="1899"/>
    <cellStyle name="Normal" xfId="0" builtinId="0"/>
    <cellStyle name="Normal 10" xfId="1900"/>
    <cellStyle name="Normal 10 2" xfId="1901"/>
    <cellStyle name="Normal 10 2 2" xfId="1902"/>
    <cellStyle name="Normal 11" xfId="1903"/>
    <cellStyle name="Normal 11 2" xfId="1904"/>
    <cellStyle name="Normal 11 2 2" xfId="1905"/>
    <cellStyle name="Normal 11 3" xfId="1906"/>
    <cellStyle name="Normal 11 4" xfId="1907"/>
    <cellStyle name="Normal 11 5" xfId="1908"/>
    <cellStyle name="Normal 12" xfId="1909"/>
    <cellStyle name="Normal 13" xfId="1910"/>
    <cellStyle name="Normal 13 2" xfId="1911"/>
    <cellStyle name="Normal 13 3" xfId="1912"/>
    <cellStyle name="Normal 14" xfId="1913"/>
    <cellStyle name="Normal 14 2" xfId="1914"/>
    <cellStyle name="Normal 15" xfId="1915"/>
    <cellStyle name="Normal 15 2" xfId="1916"/>
    <cellStyle name="Normal 16" xfId="1917"/>
    <cellStyle name="Normal 16 2" xfId="1918"/>
    <cellStyle name="Normal 17" xfId="1919"/>
    <cellStyle name="Normal 17 2" xfId="1920"/>
    <cellStyle name="Normal 18" xfId="1921"/>
    <cellStyle name="Normal 18 2" xfId="1922"/>
    <cellStyle name="Normal 19" xfId="1923"/>
    <cellStyle name="Normal 2" xfId="1924"/>
    <cellStyle name="Normal 2 10" xfId="1925"/>
    <cellStyle name="Normal 2 11" xfId="1926"/>
    <cellStyle name="Normal 2 12" xfId="1927"/>
    <cellStyle name="Normal 2 13" xfId="1928"/>
    <cellStyle name="Normal 2 14" xfId="1929"/>
    <cellStyle name="Normal 2 15" xfId="1930"/>
    <cellStyle name="Normal 2 16" xfId="1931"/>
    <cellStyle name="Normal 2 17" xfId="1932"/>
    <cellStyle name="Normal 2 18" xfId="1933"/>
    <cellStyle name="Normal 2 19" xfId="1934"/>
    <cellStyle name="Normal 2 2" xfId="1935"/>
    <cellStyle name="Normal 2 2 2" xfId="1936"/>
    <cellStyle name="Normal 2 2 2 2" xfId="1937"/>
    <cellStyle name="Normal 2 2 2 2 2" xfId="1938"/>
    <cellStyle name="Normal 2 2 2 3" xfId="1939"/>
    <cellStyle name="Normal 2 2 2 3 2" xfId="1940"/>
    <cellStyle name="Normal 2 2 2 3 3" xfId="1941"/>
    <cellStyle name="Normal 2 2 2 4" xfId="1942"/>
    <cellStyle name="Normal 2 2 3" xfId="1943"/>
    <cellStyle name="Normal 2 2 4" xfId="1944"/>
    <cellStyle name="Normal 2 2 4 2" xfId="1945"/>
    <cellStyle name="Normal 2 2 5" xfId="1946"/>
    <cellStyle name="Normal 2 2 5 2" xfId="1947"/>
    <cellStyle name="Normal 2 2 6" xfId="1948"/>
    <cellStyle name="Normal 2 2 7" xfId="1949"/>
    <cellStyle name="Normal 2 2 8" xfId="1950"/>
    <cellStyle name="Normal 2 2 9" xfId="1951"/>
    <cellStyle name="Normal 2 2_ELC" xfId="1952"/>
    <cellStyle name="Normal 2 20" xfId="1953"/>
    <cellStyle name="Normal 2 21" xfId="1954"/>
    <cellStyle name="Normal 2 22" xfId="1955"/>
    <cellStyle name="Normal 2 23" xfId="1956"/>
    <cellStyle name="Normal 2 24" xfId="1957"/>
    <cellStyle name="Normal 2 25" xfId="1958"/>
    <cellStyle name="Normal 2 26" xfId="1959"/>
    <cellStyle name="Normal 2 27" xfId="1960"/>
    <cellStyle name="Normal 2 28" xfId="1961"/>
    <cellStyle name="Normal 2 29" xfId="1962"/>
    <cellStyle name="Normal 2 3" xfId="1963"/>
    <cellStyle name="Normal 2 3 2" xfId="1964"/>
    <cellStyle name="Normal 2 3 2 2" xfId="1965"/>
    <cellStyle name="Normal 2 3 3" xfId="1966"/>
    <cellStyle name="Normal 2 3 4" xfId="1967"/>
    <cellStyle name="Normal 2 3 5" xfId="1968"/>
    <cellStyle name="Normal 2 3 6" xfId="1969"/>
    <cellStyle name="Normal 2 30" xfId="1970"/>
    <cellStyle name="Normal 2 31" xfId="1971"/>
    <cellStyle name="Normal 2 32" xfId="1972"/>
    <cellStyle name="Normal 2 33" xfId="1973"/>
    <cellStyle name="Normal 2 34" xfId="1974"/>
    <cellStyle name="Normal 2 35" xfId="1975"/>
    <cellStyle name="Normal 2 36" xfId="1976"/>
    <cellStyle name="Normal 2 37" xfId="1977"/>
    <cellStyle name="Normal 2 38" xfId="1978"/>
    <cellStyle name="Normal 2 39" xfId="1979"/>
    <cellStyle name="Normal 2 4" xfId="1980"/>
    <cellStyle name="Normal 2 4 2" xfId="1981"/>
    <cellStyle name="Normal 2 4 3" xfId="1982"/>
    <cellStyle name="Normal 2 4 4" xfId="1983"/>
    <cellStyle name="Normal 2 4 5" xfId="1984"/>
    <cellStyle name="Normal 2 4 6" xfId="1985"/>
    <cellStyle name="Normal 2 40" xfId="1986"/>
    <cellStyle name="Normal 2 41" xfId="1987"/>
    <cellStyle name="Normal 2 42" xfId="1988"/>
    <cellStyle name="Normal 2 43" xfId="1989"/>
    <cellStyle name="Normal 2 44" xfId="1990"/>
    <cellStyle name="Normal 2 45" xfId="1991"/>
    <cellStyle name="Normal 2 46" xfId="1992"/>
    <cellStyle name="Normal 2 47" xfId="1993"/>
    <cellStyle name="Normal 2 48" xfId="1994"/>
    <cellStyle name="Normal 2 49" xfId="1995"/>
    <cellStyle name="Normal 2 5" xfId="1996"/>
    <cellStyle name="Normal 2 5 10" xfId="1997"/>
    <cellStyle name="Normal 2 5 11" xfId="1998"/>
    <cellStyle name="Normal 2 5 12" xfId="1999"/>
    <cellStyle name="Normal 2 5 13" xfId="2000"/>
    <cellStyle name="Normal 2 5 14" xfId="2001"/>
    <cellStyle name="Normal 2 5 15" xfId="2002"/>
    <cellStyle name="Normal 2 5 16" xfId="2003"/>
    <cellStyle name="Normal 2 5 17" xfId="2004"/>
    <cellStyle name="Normal 2 5 2" xfId="2005"/>
    <cellStyle name="Normal 2 5 2 2" xfId="2006"/>
    <cellStyle name="Normal 2 5 3" xfId="2007"/>
    <cellStyle name="Normal 2 5 4" xfId="2008"/>
    <cellStyle name="Normal 2 5 5" xfId="2009"/>
    <cellStyle name="Normal 2 5 6" xfId="2010"/>
    <cellStyle name="Normal 2 5 7" xfId="2011"/>
    <cellStyle name="Normal 2 5 8" xfId="2012"/>
    <cellStyle name="Normal 2 5 9" xfId="2013"/>
    <cellStyle name="Normal 2 6" xfId="2014"/>
    <cellStyle name="Normal 2 6 10" xfId="2015"/>
    <cellStyle name="Normal 2 6 11" xfId="2016"/>
    <cellStyle name="Normal 2 6 12" xfId="2017"/>
    <cellStyle name="Normal 2 6 13" xfId="2018"/>
    <cellStyle name="Normal 2 6 14" xfId="2019"/>
    <cellStyle name="Normal 2 6 15" xfId="2020"/>
    <cellStyle name="Normal 2 6 16" xfId="2021"/>
    <cellStyle name="Normal 2 6 2" xfId="2022"/>
    <cellStyle name="Normal 2 6 2 2" xfId="2023"/>
    <cellStyle name="Normal 2 6 3" xfId="2024"/>
    <cellStyle name="Normal 2 6 4" xfId="2025"/>
    <cellStyle name="Normal 2 6 5" xfId="2026"/>
    <cellStyle name="Normal 2 6 6" xfId="2027"/>
    <cellStyle name="Normal 2 6 7" xfId="2028"/>
    <cellStyle name="Normal 2 6 8" xfId="2029"/>
    <cellStyle name="Normal 2 6 9" xfId="2030"/>
    <cellStyle name="Normal 2 7" xfId="2031"/>
    <cellStyle name="Normal 2 8" xfId="2032"/>
    <cellStyle name="Normal 2 8 2" xfId="2033"/>
    <cellStyle name="Normal 2 8 3" xfId="2034"/>
    <cellStyle name="Normal 2 8 4" xfId="2035"/>
    <cellStyle name="Normal 2 9" xfId="2036"/>
    <cellStyle name="Normal 2 9 2" xfId="2037"/>
    <cellStyle name="Normal 2_bound" xfId="2038"/>
    <cellStyle name="Normal 20" xfId="2039"/>
    <cellStyle name="Normal 20 2" xfId="2040"/>
    <cellStyle name="Normal 21" xfId="2041"/>
    <cellStyle name="Normal 21 2" xfId="2042"/>
    <cellStyle name="Normal 21_Scen_XBase" xfId="2043"/>
    <cellStyle name="Normal 22" xfId="2044"/>
    <cellStyle name="Normal 23" xfId="2045"/>
    <cellStyle name="Normal 23 2" xfId="2046"/>
    <cellStyle name="Normal 23 3" xfId="2047"/>
    <cellStyle name="Normal 24" xfId="2048"/>
    <cellStyle name="Normal 24 10" xfId="2049"/>
    <cellStyle name="Normal 24 11" xfId="2050"/>
    <cellStyle name="Normal 24 12" xfId="2051"/>
    <cellStyle name="Normal 24 13" xfId="2052"/>
    <cellStyle name="Normal 24 14" xfId="2053"/>
    <cellStyle name="Normal 24 15" xfId="2054"/>
    <cellStyle name="Normal 24 16" xfId="2055"/>
    <cellStyle name="Normal 24 17" xfId="2056"/>
    <cellStyle name="Normal 24 18" xfId="2057"/>
    <cellStyle name="Normal 24 19" xfId="2058"/>
    <cellStyle name="Normal 24 2" xfId="2059"/>
    <cellStyle name="Normal 24 20" xfId="2060"/>
    <cellStyle name="Normal 24 21" xfId="2061"/>
    <cellStyle name="Normal 24 22" xfId="2062"/>
    <cellStyle name="Normal 24 3" xfId="2063"/>
    <cellStyle name="Normal 24 4" xfId="2064"/>
    <cellStyle name="Normal 24 5" xfId="2065"/>
    <cellStyle name="Normal 24 6" xfId="2066"/>
    <cellStyle name="Normal 24 7" xfId="2067"/>
    <cellStyle name="Normal 24 8" xfId="2068"/>
    <cellStyle name="Normal 24 9" xfId="2069"/>
    <cellStyle name="Normal 25" xfId="2070"/>
    <cellStyle name="Normal 26" xfId="2071"/>
    <cellStyle name="Normal 26 2" xfId="2072"/>
    <cellStyle name="Normal 27" xfId="2073"/>
    <cellStyle name="Normal 27 2" xfId="2074"/>
    <cellStyle name="Normal 28" xfId="2075"/>
    <cellStyle name="Normal 29" xfId="2076"/>
    <cellStyle name="Normal 3" xfId="2077"/>
    <cellStyle name="Normal 3 10" xfId="2078"/>
    <cellStyle name="Normal 3 11" xfId="2079"/>
    <cellStyle name="Normal 3 12" xfId="2080"/>
    <cellStyle name="Normal 3 13" xfId="2081"/>
    <cellStyle name="Normal 3 14" xfId="2082"/>
    <cellStyle name="Normal 3 15" xfId="2083"/>
    <cellStyle name="Normal 3 16" xfId="2084"/>
    <cellStyle name="Normal 3 17" xfId="2085"/>
    <cellStyle name="Normal 3 18" xfId="2086"/>
    <cellStyle name="Normal 3 19" xfId="2087"/>
    <cellStyle name="Normal 3 2" xfId="2088"/>
    <cellStyle name="Normal 3 2 2" xfId="2089"/>
    <cellStyle name="Normal 3 2 2 2" xfId="2090"/>
    <cellStyle name="Normal 3 2 2 3" xfId="2091"/>
    <cellStyle name="Normal 3 2 3" xfId="2092"/>
    <cellStyle name="Normal 3 2 4" xfId="2093"/>
    <cellStyle name="Normal 3 2 5" xfId="2094"/>
    <cellStyle name="Normal 3 2_ELC" xfId="2095"/>
    <cellStyle name="Normal 3 20" xfId="2096"/>
    <cellStyle name="Normal 3 21" xfId="2097"/>
    <cellStyle name="Normal 3 22" xfId="2098"/>
    <cellStyle name="Normal 3 23" xfId="2099"/>
    <cellStyle name="Normal 3 24" xfId="2100"/>
    <cellStyle name="Normal 3 25" xfId="2101"/>
    <cellStyle name="Normal 3 26" xfId="2102"/>
    <cellStyle name="Normal 3 27" xfId="2103"/>
    <cellStyle name="Normal 3 28" xfId="2104"/>
    <cellStyle name="Normal 3 28 2" xfId="2105"/>
    <cellStyle name="Normal 3 29" xfId="2106"/>
    <cellStyle name="Normal 3 3" xfId="2107"/>
    <cellStyle name="Normal 3 3 2" xfId="2108"/>
    <cellStyle name="Normal 3 30" xfId="2109"/>
    <cellStyle name="Normal 3 31" xfId="2110"/>
    <cellStyle name="Normal 3 32" xfId="2111"/>
    <cellStyle name="Normal 3 4" xfId="2112"/>
    <cellStyle name="Normal 3 4 2" xfId="2113"/>
    <cellStyle name="Normal 3 4 3" xfId="2114"/>
    <cellStyle name="Normal 3 4 4" xfId="2115"/>
    <cellStyle name="Normal 3 5" xfId="2116"/>
    <cellStyle name="Normal 3 5 2" xfId="2117"/>
    <cellStyle name="Normal 3 5 3" xfId="2118"/>
    <cellStyle name="Normal 3 6" xfId="2119"/>
    <cellStyle name="Normal 3 6 2" xfId="2120"/>
    <cellStyle name="Normal 3 7" xfId="2121"/>
    <cellStyle name="Normal 3 7 2" xfId="2122"/>
    <cellStyle name="Normal 3 8" xfId="2123"/>
    <cellStyle name="Normal 3 9" xfId="2124"/>
    <cellStyle name="Normal 3_Heating-COM" xfId="2125"/>
    <cellStyle name="Normal 30" xfId="2126"/>
    <cellStyle name="Normal 31" xfId="2127"/>
    <cellStyle name="Normal 31 2" xfId="2128"/>
    <cellStyle name="Normal 32" xfId="2129"/>
    <cellStyle name="Normal 32 2" xfId="2130"/>
    <cellStyle name="Normal 33" xfId="2131"/>
    <cellStyle name="Normal 33 10" xfId="2132"/>
    <cellStyle name="Normal 33 11" xfId="2133"/>
    <cellStyle name="Normal 33 12" xfId="2134"/>
    <cellStyle name="Normal 33 13" xfId="2135"/>
    <cellStyle name="Normal 33 2" xfId="2136"/>
    <cellStyle name="Normal 33 3" xfId="2137"/>
    <cellStyle name="Normal 33 4" xfId="2138"/>
    <cellStyle name="Normal 33 5" xfId="2139"/>
    <cellStyle name="Normal 33 6" xfId="2140"/>
    <cellStyle name="Normal 33 7" xfId="2141"/>
    <cellStyle name="Normal 33 8" xfId="2142"/>
    <cellStyle name="Normal 33 9" xfId="2143"/>
    <cellStyle name="Normal 33_Scen_XBase" xfId="2144"/>
    <cellStyle name="Normal 34" xfId="2145"/>
    <cellStyle name="Normal 35" xfId="2146"/>
    <cellStyle name="Normal 36" xfId="2147"/>
    <cellStyle name="Normal 36 2" xfId="2148"/>
    <cellStyle name="Normal 37" xfId="2149"/>
    <cellStyle name="Normal 37 2" xfId="2150"/>
    <cellStyle name="Normal 38" xfId="2151"/>
    <cellStyle name="Normal 39" xfId="2152"/>
    <cellStyle name="Normal 4" xfId="2153"/>
    <cellStyle name="Normal 4 10" xfId="2154"/>
    <cellStyle name="Normal 4 11" xfId="2155"/>
    <cellStyle name="Normal 4 12" xfId="2156"/>
    <cellStyle name="Normal 4 13 2" xfId="2157"/>
    <cellStyle name="Normal 4 13 2 2" xfId="2158"/>
    <cellStyle name="Normal 4 13 2 3" xfId="2159"/>
    <cellStyle name="Normal 4 13 2 4" xfId="2160"/>
    <cellStyle name="Normal 4 2" xfId="2161"/>
    <cellStyle name="Normal 4 2 2" xfId="2162"/>
    <cellStyle name="Normal 4 2 2 2" xfId="2163"/>
    <cellStyle name="Normal 4 2 3" xfId="2164"/>
    <cellStyle name="Normal 4 2 3 2" xfId="2165"/>
    <cellStyle name="Normal 4 2 4" xfId="2166"/>
    <cellStyle name="Normal 4 2_Scen_XBase" xfId="2167"/>
    <cellStyle name="Normal 4 3" xfId="2168"/>
    <cellStyle name="Normal 4 3 2" xfId="2169"/>
    <cellStyle name="Normal 4 3 2 2" xfId="2170"/>
    <cellStyle name="Normal 4 3 3" xfId="2171"/>
    <cellStyle name="Normal 4 3 4" xfId="2172"/>
    <cellStyle name="Normal 4 3 5" xfId="2173"/>
    <cellStyle name="Normal 4 3_Scen_XBase" xfId="2174"/>
    <cellStyle name="Normal 4 4" xfId="2175"/>
    <cellStyle name="Normal 4 4 2" xfId="2176"/>
    <cellStyle name="Normal 4 4 3" xfId="2177"/>
    <cellStyle name="Normal 4 5" xfId="2178"/>
    <cellStyle name="Normal 4 5 2" xfId="2179"/>
    <cellStyle name="Normal 4 6" xfId="2180"/>
    <cellStyle name="Normal 4 6 2" xfId="2181"/>
    <cellStyle name="Normal 4 6 3" xfId="2182"/>
    <cellStyle name="Normal 4 7" xfId="2183"/>
    <cellStyle name="Normal 4 8" xfId="2184"/>
    <cellStyle name="Normal 4 9" xfId="2185"/>
    <cellStyle name="Normal 4_ELC" xfId="2186"/>
    <cellStyle name="Normal 40" xfId="2187"/>
    <cellStyle name="Normal 41" xfId="2188"/>
    <cellStyle name="Normal 41 2" xfId="2189"/>
    <cellStyle name="Normal 5" xfId="2190"/>
    <cellStyle name="Normal 5 10" xfId="2191"/>
    <cellStyle name="Normal 5 11" xfId="2192"/>
    <cellStyle name="Normal 5 12" xfId="2193"/>
    <cellStyle name="Normal 5 13" xfId="2194"/>
    <cellStyle name="Normal 5 14" xfId="2195"/>
    <cellStyle name="Normal 5 15" xfId="2196"/>
    <cellStyle name="Normal 5 2" xfId="2197"/>
    <cellStyle name="Normal 5 2 2" xfId="2198"/>
    <cellStyle name="Normal 5 2 2 2" xfId="2199"/>
    <cellStyle name="Normal 5 2 3" xfId="2200"/>
    <cellStyle name="Normal 5 2 4" xfId="2201"/>
    <cellStyle name="Normal 5 3" xfId="2202"/>
    <cellStyle name="Normal 5 3 2" xfId="2203"/>
    <cellStyle name="Normal 5 3 3" xfId="2204"/>
    <cellStyle name="Normal 5 4" xfId="2205"/>
    <cellStyle name="Normal 5 5" xfId="2206"/>
    <cellStyle name="Normal 5 5 2" xfId="2207"/>
    <cellStyle name="Normal 5 5 3" xfId="2208"/>
    <cellStyle name="Normal 5 6" xfId="2209"/>
    <cellStyle name="Normal 5 6 2" xfId="2210"/>
    <cellStyle name="Normal 5 7" xfId="2211"/>
    <cellStyle name="Normal 5 8" xfId="2212"/>
    <cellStyle name="Normal 5 9" xfId="2213"/>
    <cellStyle name="Normal 50" xfId="2214"/>
    <cellStyle name="Normal 51" xfId="2215"/>
    <cellStyle name="Normal 52" xfId="2216"/>
    <cellStyle name="Normal 53" xfId="2217"/>
    <cellStyle name="Normal 54" xfId="2218"/>
    <cellStyle name="Normal 55" xfId="2219"/>
    <cellStyle name="Normal 6" xfId="2220"/>
    <cellStyle name="Normal 6 10" xfId="2221"/>
    <cellStyle name="Normal 6 11" xfId="2222"/>
    <cellStyle name="Normal 6 12" xfId="2223"/>
    <cellStyle name="Normal 6 13" xfId="2224"/>
    <cellStyle name="Normal 6 14" xfId="2225"/>
    <cellStyle name="Normal 6 15" xfId="2226"/>
    <cellStyle name="Normal 6 2" xfId="2227"/>
    <cellStyle name="Normal 6 2 10" xfId="2228"/>
    <cellStyle name="Normal 6 2 11" xfId="2229"/>
    <cellStyle name="Normal 6 2 12" xfId="2230"/>
    <cellStyle name="Normal 6 2 13" xfId="2231"/>
    <cellStyle name="Normal 6 2 14" xfId="2232"/>
    <cellStyle name="Normal 6 2 2" xfId="2233"/>
    <cellStyle name="Normal 6 2 3" xfId="2234"/>
    <cellStyle name="Normal 6 2 4" xfId="2235"/>
    <cellStyle name="Normal 6 2 5" xfId="2236"/>
    <cellStyle name="Normal 6 2 6" xfId="2237"/>
    <cellStyle name="Normal 6 2 7" xfId="2238"/>
    <cellStyle name="Normal 6 2 8" xfId="2239"/>
    <cellStyle name="Normal 6 2 9" xfId="2240"/>
    <cellStyle name="Normal 6 3" xfId="2241"/>
    <cellStyle name="Normal 6 3 10" xfId="2242"/>
    <cellStyle name="Normal 6 3 11" xfId="2243"/>
    <cellStyle name="Normal 6 3 12" xfId="2244"/>
    <cellStyle name="Normal 6 3 13" xfId="2245"/>
    <cellStyle name="Normal 6 3 14" xfId="2246"/>
    <cellStyle name="Normal 6 3 15" xfId="2247"/>
    <cellStyle name="Normal 6 3 16" xfId="2248"/>
    <cellStyle name="Normal 6 3 2" xfId="2249"/>
    <cellStyle name="Normal 6 3 3" xfId="2250"/>
    <cellStyle name="Normal 6 3 4" xfId="2251"/>
    <cellStyle name="Normal 6 3 5" xfId="2252"/>
    <cellStyle name="Normal 6 3 6" xfId="2253"/>
    <cellStyle name="Normal 6 3 7" xfId="2254"/>
    <cellStyle name="Normal 6 3 8" xfId="2255"/>
    <cellStyle name="Normal 6 3 9" xfId="2256"/>
    <cellStyle name="Normal 6 4" xfId="2257"/>
    <cellStyle name="Normal 6 5" xfId="2258"/>
    <cellStyle name="Normal 6 6" xfId="2259"/>
    <cellStyle name="Normal 6 7" xfId="2260"/>
    <cellStyle name="Normal 6 8" xfId="2261"/>
    <cellStyle name="Normal 6 9" xfId="2262"/>
    <cellStyle name="Normal 6_ELC" xfId="2263"/>
    <cellStyle name="Normal 7" xfId="2264"/>
    <cellStyle name="Normal 7 2" xfId="2265"/>
    <cellStyle name="Normal 7 2 2" xfId="2266"/>
    <cellStyle name="Normal 7 2 3" xfId="2267"/>
    <cellStyle name="Normal 7 2_Scen_XBase" xfId="2268"/>
    <cellStyle name="Normal 7 3" xfId="2269"/>
    <cellStyle name="Normal 7 4" xfId="2270"/>
    <cellStyle name="Normal 7 5" xfId="2271"/>
    <cellStyle name="Normal 7 6" xfId="2272"/>
    <cellStyle name="Normal 7 7" xfId="2273"/>
    <cellStyle name="Normal 8" xfId="2274"/>
    <cellStyle name="Normal 8 10" xfId="2275"/>
    <cellStyle name="Normal 8 11" xfId="2276"/>
    <cellStyle name="Normal 8 12" xfId="2277"/>
    <cellStyle name="Normal 8 2" xfId="2278"/>
    <cellStyle name="Normal 8 3" xfId="2279"/>
    <cellStyle name="Normal 8 4" xfId="2280"/>
    <cellStyle name="Normal 8 5" xfId="2281"/>
    <cellStyle name="Normal 8 6" xfId="2282"/>
    <cellStyle name="Normal 8 7" xfId="2283"/>
    <cellStyle name="Normal 8 8" xfId="2284"/>
    <cellStyle name="Normal 8 9" xfId="2285"/>
    <cellStyle name="Normal 9" xfId="2286"/>
    <cellStyle name="Normal 9 10" xfId="2287"/>
    <cellStyle name="Normal 9 2" xfId="2288"/>
    <cellStyle name="Normal 9 2 2" xfId="2289"/>
    <cellStyle name="Normal 9 3" xfId="2290"/>
    <cellStyle name="Normal 9 4" xfId="2291"/>
    <cellStyle name="Normal 9 5" xfId="2292"/>
    <cellStyle name="Normal 9 6" xfId="2293"/>
    <cellStyle name="Normal 9 7" xfId="2294"/>
    <cellStyle name="Normal 9 8" xfId="2295"/>
    <cellStyle name="Normal 9 9" xfId="2296"/>
    <cellStyle name="Normal GHG Numbers (0.00)" xfId="2297"/>
    <cellStyle name="Normal GHG Numbers (0.00) 2" xfId="2298"/>
    <cellStyle name="Normal GHG Numbers (0.00) 3" xfId="2299"/>
    <cellStyle name="Normal GHG Textfiels Bold" xfId="2300"/>
    <cellStyle name="Normal GHG whole table" xfId="2301"/>
    <cellStyle name="Normal GHG-Shade" xfId="2302"/>
    <cellStyle name="Normal GHG-Shade 2" xfId="2303"/>
    <cellStyle name="Normal GHG-Shade 3" xfId="2304"/>
    <cellStyle name="Normal GHG-Shade 4" xfId="2305"/>
    <cellStyle name="Normal_ESD ESR" xfId="2306"/>
    <cellStyle name="Normal_graphs_baseline2" xfId="2307"/>
    <cellStyle name="Normál_Munka1" xfId="2308"/>
    <cellStyle name="Normal_N2O ETS" xfId="2309"/>
    <cellStyle name="Normal_Sheet12" xfId="2310"/>
    <cellStyle name="Normal_Sheet16" xfId="2311"/>
    <cellStyle name="Normal_Sheet23" xfId="2312"/>
    <cellStyle name="Normal_UNFCCC_V20 data non-ETS" xfId="2313"/>
    <cellStyle name="Normale_B2020" xfId="2314"/>
    <cellStyle name="Normale_Scen_UC_IND-StrucConst" xfId="2315"/>
    <cellStyle name="Note 10" xfId="2316"/>
    <cellStyle name="Note 10 2" xfId="2317"/>
    <cellStyle name="Note 10 3" xfId="2318"/>
    <cellStyle name="Note 10 3 2" xfId="2319"/>
    <cellStyle name="Note 10 3_ELC_final" xfId="2320"/>
    <cellStyle name="Note 10_ELC_final" xfId="2321"/>
    <cellStyle name="Note 11" xfId="2322"/>
    <cellStyle name="Note 11 2" xfId="2323"/>
    <cellStyle name="Note 11_ELC_final" xfId="2324"/>
    <cellStyle name="Note 12" xfId="2325"/>
    <cellStyle name="Note 12 2" xfId="2326"/>
    <cellStyle name="Note 12_ELC_final" xfId="2327"/>
    <cellStyle name="Note 13" xfId="2328"/>
    <cellStyle name="Note 13 2" xfId="2329"/>
    <cellStyle name="Note 13_ELC_final" xfId="2330"/>
    <cellStyle name="Note 14" xfId="2331"/>
    <cellStyle name="Note 14 2" xfId="2332"/>
    <cellStyle name="Note 14_ELC_final" xfId="2333"/>
    <cellStyle name="Note 15" xfId="2334"/>
    <cellStyle name="Note 15 2" xfId="2335"/>
    <cellStyle name="Note 15_ELC_final" xfId="2336"/>
    <cellStyle name="Note 16" xfId="2337"/>
    <cellStyle name="Note 16 2" xfId="2338"/>
    <cellStyle name="Note 16_ELC_final" xfId="2339"/>
    <cellStyle name="Note 17" xfId="2340"/>
    <cellStyle name="Note 17 2" xfId="2341"/>
    <cellStyle name="Note 17_ELC_final" xfId="2342"/>
    <cellStyle name="Note 18" xfId="2343"/>
    <cellStyle name="Note 18 2" xfId="2344"/>
    <cellStyle name="Note 18_ELC_final" xfId="2345"/>
    <cellStyle name="Note 19" xfId="2346"/>
    <cellStyle name="Note 2" xfId="2347"/>
    <cellStyle name="Note 2 2" xfId="2348"/>
    <cellStyle name="Note 2 3" xfId="2349"/>
    <cellStyle name="Note 2 4" xfId="2350"/>
    <cellStyle name="Note 2 5" xfId="2351"/>
    <cellStyle name="Note 2_PrimaryEnergyPrices_TIMES" xfId="2352"/>
    <cellStyle name="Note 20" xfId="2353"/>
    <cellStyle name="Note 21" xfId="2354"/>
    <cellStyle name="Note 22" xfId="2355"/>
    <cellStyle name="Note 23" xfId="2356"/>
    <cellStyle name="Note 24" xfId="2357"/>
    <cellStyle name="Note 25" xfId="2358"/>
    <cellStyle name="Note 26" xfId="2359"/>
    <cellStyle name="Note 27" xfId="2360"/>
    <cellStyle name="Note 28" xfId="2361"/>
    <cellStyle name="Note 29" xfId="2362"/>
    <cellStyle name="Note 3" xfId="2363"/>
    <cellStyle name="Note 3 2" xfId="2364"/>
    <cellStyle name="Note 3 2 2" xfId="2365"/>
    <cellStyle name="Note 3 3" xfId="2366"/>
    <cellStyle name="Note 3 4" xfId="2367"/>
    <cellStyle name="Note 3 5" xfId="2368"/>
    <cellStyle name="Note 3 6" xfId="2369"/>
    <cellStyle name="Note 3_PrimaryEnergyPrices_TIMES" xfId="2370"/>
    <cellStyle name="Note 30" xfId="2371"/>
    <cellStyle name="Note 31" xfId="2372"/>
    <cellStyle name="Note 32" xfId="2373"/>
    <cellStyle name="Note 33" xfId="2374"/>
    <cellStyle name="Note 34" xfId="2375"/>
    <cellStyle name="Note 35" xfId="2376"/>
    <cellStyle name="Note 36" xfId="2377"/>
    <cellStyle name="Note 37" xfId="2378"/>
    <cellStyle name="Note 38" xfId="2379"/>
    <cellStyle name="Note 39" xfId="2380"/>
    <cellStyle name="Note 4" xfId="2381"/>
    <cellStyle name="Note 4 2" xfId="2382"/>
    <cellStyle name="Note 4 3" xfId="2383"/>
    <cellStyle name="Note 4 3 2" xfId="2384"/>
    <cellStyle name="Note 4 3_ELC_final" xfId="2385"/>
    <cellStyle name="Note 4 4" xfId="2386"/>
    <cellStyle name="Note 4_ELC_final" xfId="2387"/>
    <cellStyle name="Note 40" xfId="2388"/>
    <cellStyle name="Note 41" xfId="2389"/>
    <cellStyle name="Note 42" xfId="2390"/>
    <cellStyle name="Note 43" xfId="2391"/>
    <cellStyle name="Note 44" xfId="2392"/>
    <cellStyle name="Note 5" xfId="2393"/>
    <cellStyle name="Note 5 2" xfId="2394"/>
    <cellStyle name="Note 5 3" xfId="2395"/>
    <cellStyle name="Note 5 3 2" xfId="2396"/>
    <cellStyle name="Note 5 3_ELC_final" xfId="2397"/>
    <cellStyle name="Note 5 4" xfId="2398"/>
    <cellStyle name="Note 5_ELC_final" xfId="2399"/>
    <cellStyle name="Note 6" xfId="2400"/>
    <cellStyle name="Note 6 2" xfId="2401"/>
    <cellStyle name="Note 6 3" xfId="2402"/>
    <cellStyle name="Note 6 3 2" xfId="2403"/>
    <cellStyle name="Note 6 3_ELC_final" xfId="2404"/>
    <cellStyle name="Note 6 4" xfId="2405"/>
    <cellStyle name="Note 6_ELC_final" xfId="2406"/>
    <cellStyle name="Note 7" xfId="2407"/>
    <cellStyle name="Note 7 2" xfId="2408"/>
    <cellStyle name="Note 7 3" xfId="2409"/>
    <cellStyle name="Note 7 3 2" xfId="2410"/>
    <cellStyle name="Note 7 3_ELC_final" xfId="2411"/>
    <cellStyle name="Note 7 4" xfId="2412"/>
    <cellStyle name="Note 7_ELC_final" xfId="2413"/>
    <cellStyle name="Note 8" xfId="2414"/>
    <cellStyle name="Note 8 2" xfId="2415"/>
    <cellStyle name="Note 8 3" xfId="2416"/>
    <cellStyle name="Note 8 3 2" xfId="2417"/>
    <cellStyle name="Note 8 3_ELC_final" xfId="2418"/>
    <cellStyle name="Note 8 4" xfId="2419"/>
    <cellStyle name="Note 8_ELC_final" xfId="2420"/>
    <cellStyle name="Note 9" xfId="2421"/>
    <cellStyle name="Note 9 2" xfId="2422"/>
    <cellStyle name="Note 9 3" xfId="2423"/>
    <cellStyle name="Note 9 3 2" xfId="2424"/>
    <cellStyle name="Note 9 3_ELC_final" xfId="2425"/>
    <cellStyle name="Note 9 4" xfId="2426"/>
    <cellStyle name="Note 9_ELC_final" xfId="2427"/>
    <cellStyle name="Notiz" xfId="2428"/>
    <cellStyle name="Notiz 2" xfId="2429"/>
    <cellStyle name="Notiz 3" xfId="2430"/>
    <cellStyle name="num_note" xfId="2431"/>
    <cellStyle name="Nuovo" xfId="2432"/>
    <cellStyle name="Nuovo 10" xfId="2433"/>
    <cellStyle name="Nuovo 11" xfId="2434"/>
    <cellStyle name="Nuovo 12" xfId="2435"/>
    <cellStyle name="Nuovo 13" xfId="2436"/>
    <cellStyle name="Nuovo 14" xfId="2437"/>
    <cellStyle name="Nuovo 15" xfId="2438"/>
    <cellStyle name="Nuovo 16" xfId="2439"/>
    <cellStyle name="Nuovo 17" xfId="2440"/>
    <cellStyle name="Nuovo 18" xfId="2441"/>
    <cellStyle name="Nuovo 19" xfId="2442"/>
    <cellStyle name="Nuovo 2" xfId="2443"/>
    <cellStyle name="Nuovo 20" xfId="2444"/>
    <cellStyle name="Nuovo 21" xfId="2445"/>
    <cellStyle name="Nuovo 22" xfId="2446"/>
    <cellStyle name="Nuovo 23" xfId="2447"/>
    <cellStyle name="Nuovo 24" xfId="2448"/>
    <cellStyle name="Nuovo 25" xfId="2449"/>
    <cellStyle name="Nuovo 26" xfId="2450"/>
    <cellStyle name="Nuovo 27" xfId="2451"/>
    <cellStyle name="Nuovo 28" xfId="2452"/>
    <cellStyle name="Nuovo 29" xfId="2453"/>
    <cellStyle name="Nuovo 3" xfId="2454"/>
    <cellStyle name="Nuovo 30" xfId="2455"/>
    <cellStyle name="Nuovo 31" xfId="2456"/>
    <cellStyle name="Nuovo 32" xfId="2457"/>
    <cellStyle name="Nuovo 33" xfId="2458"/>
    <cellStyle name="Nuovo 34" xfId="2459"/>
    <cellStyle name="Nuovo 35" xfId="2460"/>
    <cellStyle name="Nuovo 36" xfId="2461"/>
    <cellStyle name="Nuovo 37" xfId="2462"/>
    <cellStyle name="Nuovo 38" xfId="2463"/>
    <cellStyle name="Nuovo 4" xfId="2464"/>
    <cellStyle name="Nuovo 5" xfId="2465"/>
    <cellStyle name="Nuovo 6" xfId="2466"/>
    <cellStyle name="Nuovo 7" xfId="2467"/>
    <cellStyle name="Nuovo 8" xfId="2468"/>
    <cellStyle name="Nuovo 9" xfId="2469"/>
    <cellStyle name="Output" xfId="2470" builtinId="21" customBuiltin="1"/>
    <cellStyle name="Output 10" xfId="2471"/>
    <cellStyle name="Output 11" xfId="2472"/>
    <cellStyle name="Output 12" xfId="2473"/>
    <cellStyle name="Output 13" xfId="2474"/>
    <cellStyle name="Output 14" xfId="2475"/>
    <cellStyle name="Output 15" xfId="2476"/>
    <cellStyle name="Output 16" xfId="2477"/>
    <cellStyle name="Output 17" xfId="2478"/>
    <cellStyle name="Output 18" xfId="2479"/>
    <cellStyle name="Output 19" xfId="2480"/>
    <cellStyle name="Output 2" xfId="2481"/>
    <cellStyle name="Output 2 2" xfId="2482"/>
    <cellStyle name="Output 20" xfId="2483"/>
    <cellStyle name="Output 21" xfId="2484"/>
    <cellStyle name="Output 22" xfId="2485"/>
    <cellStyle name="Output 23" xfId="2486"/>
    <cellStyle name="Output 24" xfId="2487"/>
    <cellStyle name="Output 25" xfId="2488"/>
    <cellStyle name="Output 26" xfId="2489"/>
    <cellStyle name="Output 27" xfId="2490"/>
    <cellStyle name="Output 28" xfId="2491"/>
    <cellStyle name="Output 29" xfId="2492"/>
    <cellStyle name="Output 3" xfId="2493"/>
    <cellStyle name="Output 3 2" xfId="2494"/>
    <cellStyle name="Output 30" xfId="2495"/>
    <cellStyle name="Output 31" xfId="2496"/>
    <cellStyle name="Output 32" xfId="2497"/>
    <cellStyle name="Output 33" xfId="2498"/>
    <cellStyle name="Output 34" xfId="2499"/>
    <cellStyle name="Output 35" xfId="2500"/>
    <cellStyle name="Output 36" xfId="2501"/>
    <cellStyle name="Output 37" xfId="2502"/>
    <cellStyle name="Output 38" xfId="2503"/>
    <cellStyle name="Output 39" xfId="2504"/>
    <cellStyle name="Output 4" xfId="2505"/>
    <cellStyle name="Output 40" xfId="2506"/>
    <cellStyle name="Output 41" xfId="2507"/>
    <cellStyle name="Output 42" xfId="2508"/>
    <cellStyle name="Output 43" xfId="2509"/>
    <cellStyle name="Output 5" xfId="2510"/>
    <cellStyle name="Output 6" xfId="2511"/>
    <cellStyle name="Output 7" xfId="2512"/>
    <cellStyle name="Output 8" xfId="2513"/>
    <cellStyle name="Output 9" xfId="2514"/>
    <cellStyle name="Pattern" xfId="2515"/>
    <cellStyle name="Percent" xfId="2516" builtinId="5"/>
    <cellStyle name="Percent 10" xfId="2517"/>
    <cellStyle name="Percent 10 10" xfId="2518"/>
    <cellStyle name="Percent 10 11" xfId="2519"/>
    <cellStyle name="Percent 10 12" xfId="2520"/>
    <cellStyle name="Percent 10 13" xfId="2521"/>
    <cellStyle name="Percent 10 14" xfId="2522"/>
    <cellStyle name="Percent 10 15" xfId="2523"/>
    <cellStyle name="Percent 10 16" xfId="2524"/>
    <cellStyle name="Percent 10 17" xfId="2525"/>
    <cellStyle name="Percent 10 18" xfId="2526"/>
    <cellStyle name="Percent 10 19" xfId="2527"/>
    <cellStyle name="Percent 10 2" xfId="2528"/>
    <cellStyle name="Percent 10 20" xfId="2529"/>
    <cellStyle name="Percent 10 3" xfId="2530"/>
    <cellStyle name="Percent 10 4" xfId="2531"/>
    <cellStyle name="Percent 10 5" xfId="2532"/>
    <cellStyle name="Percent 10 6" xfId="2533"/>
    <cellStyle name="Percent 10 7" xfId="2534"/>
    <cellStyle name="Percent 10 7 2" xfId="2535"/>
    <cellStyle name="Percent 10 7 3" xfId="2536"/>
    <cellStyle name="Percent 10 8" xfId="2537"/>
    <cellStyle name="Percent 10 9" xfId="2538"/>
    <cellStyle name="Percent 11 10" xfId="2539"/>
    <cellStyle name="Percent 11 2" xfId="2540"/>
    <cellStyle name="Percent 11 3" xfId="2541"/>
    <cellStyle name="Percent 11 4" xfId="2542"/>
    <cellStyle name="Percent 11 5" xfId="2543"/>
    <cellStyle name="Percent 11 6" xfId="2544"/>
    <cellStyle name="Percent 11 7" xfId="2545"/>
    <cellStyle name="Percent 11 7 2" xfId="2546"/>
    <cellStyle name="Percent 11 7 3" xfId="2547"/>
    <cellStyle name="Percent 11 8" xfId="2548"/>
    <cellStyle name="Percent 11 9" xfId="2549"/>
    <cellStyle name="Percent 12 10" xfId="2550"/>
    <cellStyle name="Percent 12 2" xfId="2551"/>
    <cellStyle name="Percent 12 3" xfId="2552"/>
    <cellStyle name="Percent 12 4" xfId="2553"/>
    <cellStyle name="Percent 12 5" xfId="2554"/>
    <cellStyle name="Percent 12 6" xfId="2555"/>
    <cellStyle name="Percent 12 7" xfId="2556"/>
    <cellStyle name="Percent 12 7 2" xfId="2557"/>
    <cellStyle name="Percent 12 7 3" xfId="2558"/>
    <cellStyle name="Percent 12 8" xfId="2559"/>
    <cellStyle name="Percent 12 9" xfId="2560"/>
    <cellStyle name="Percent 13 10" xfId="2561"/>
    <cellStyle name="Percent 13 2" xfId="2562"/>
    <cellStyle name="Percent 13 3" xfId="2563"/>
    <cellStyle name="Percent 13 4" xfId="2564"/>
    <cellStyle name="Percent 13 5" xfId="2565"/>
    <cellStyle name="Percent 13 6" xfId="2566"/>
    <cellStyle name="Percent 13 7" xfId="2567"/>
    <cellStyle name="Percent 13 7 2" xfId="2568"/>
    <cellStyle name="Percent 13 7 3" xfId="2569"/>
    <cellStyle name="Percent 13 8" xfId="2570"/>
    <cellStyle name="Percent 13 9" xfId="2571"/>
    <cellStyle name="Percent 14 10" xfId="2572"/>
    <cellStyle name="Percent 14 2" xfId="2573"/>
    <cellStyle name="Percent 14 3" xfId="2574"/>
    <cellStyle name="Percent 14 4" xfId="2575"/>
    <cellStyle name="Percent 14 5" xfId="2576"/>
    <cellStyle name="Percent 14 6" xfId="2577"/>
    <cellStyle name="Percent 14 7" xfId="2578"/>
    <cellStyle name="Percent 14 7 2" xfId="2579"/>
    <cellStyle name="Percent 14 7 3" xfId="2580"/>
    <cellStyle name="Percent 14 8" xfId="2581"/>
    <cellStyle name="Percent 14 9" xfId="2582"/>
    <cellStyle name="Percent 15" xfId="2583"/>
    <cellStyle name="Percent 15 2" xfId="2584"/>
    <cellStyle name="Percent 15 3" xfId="2585"/>
    <cellStyle name="Percent 15 4" xfId="2586"/>
    <cellStyle name="Percent 15 5" xfId="2587"/>
    <cellStyle name="Percent 15 6" xfId="2588"/>
    <cellStyle name="Percent 15 7" xfId="2589"/>
    <cellStyle name="Percent 15 7 2" xfId="2590"/>
    <cellStyle name="Percent 15 7 3" xfId="2591"/>
    <cellStyle name="Percent 16 2" xfId="2592"/>
    <cellStyle name="Percent 16 3" xfId="2593"/>
    <cellStyle name="Percent 16 4" xfId="2594"/>
    <cellStyle name="Percent 16 5" xfId="2595"/>
    <cellStyle name="Percent 16 6" xfId="2596"/>
    <cellStyle name="Percent 16 7" xfId="2597"/>
    <cellStyle name="Percent 16 7 2" xfId="2598"/>
    <cellStyle name="Percent 16 7 3" xfId="2599"/>
    <cellStyle name="Percent 17" xfId="2600"/>
    <cellStyle name="Percent 17 2" xfId="2601"/>
    <cellStyle name="Percent 17 3" xfId="2602"/>
    <cellStyle name="Percent 17 4" xfId="2603"/>
    <cellStyle name="Percent 17 5" xfId="2604"/>
    <cellStyle name="Percent 17 6" xfId="2605"/>
    <cellStyle name="Percent 17 7" xfId="2606"/>
    <cellStyle name="Percent 17 7 2" xfId="2607"/>
    <cellStyle name="Percent 17 7 3" xfId="2608"/>
    <cellStyle name="Percent 17 8" xfId="2609"/>
    <cellStyle name="Percent 17 8 2" xfId="2610"/>
    <cellStyle name="Percent 2" xfId="2611"/>
    <cellStyle name="Percent 2 10" xfId="2612"/>
    <cellStyle name="Percent 2 10 2" xfId="2613"/>
    <cellStyle name="Percent 2 11" xfId="2614"/>
    <cellStyle name="Percent 2 11 2" xfId="2615"/>
    <cellStyle name="Percent 2 12" xfId="2616"/>
    <cellStyle name="Percent 2 13" xfId="2617"/>
    <cellStyle name="Percent 2 14" xfId="2618"/>
    <cellStyle name="Percent 2 15" xfId="2619"/>
    <cellStyle name="Percent 2 16" xfId="2620"/>
    <cellStyle name="Percent 2 17" xfId="2621"/>
    <cellStyle name="Percent 2 18" xfId="2622"/>
    <cellStyle name="Percent 2 19" xfId="2623"/>
    <cellStyle name="Percent 2 2" xfId="2624"/>
    <cellStyle name="Percent 2 2 2" xfId="2625"/>
    <cellStyle name="Percent 2 2 3" xfId="2626"/>
    <cellStyle name="Percent 2 2 3 2" xfId="2627"/>
    <cellStyle name="Percent 2 2 3 3" xfId="2628"/>
    <cellStyle name="Percent 2 2 4" xfId="2629"/>
    <cellStyle name="Percent 2 2 4 2" xfId="2630"/>
    <cellStyle name="Percent 2 2 5" xfId="2631"/>
    <cellStyle name="Percent 2 2 6" xfId="2632"/>
    <cellStyle name="Percent 2 2 7" xfId="2633"/>
    <cellStyle name="Percent 2 20" xfId="2634"/>
    <cellStyle name="Percent 2 21" xfId="2635"/>
    <cellStyle name="Percent 2 22" xfId="2636"/>
    <cellStyle name="Percent 2 23" xfId="2637"/>
    <cellStyle name="Percent 2 24" xfId="2638"/>
    <cellStyle name="Percent 2 25" xfId="2639"/>
    <cellStyle name="Percent 2 26" xfId="2640"/>
    <cellStyle name="Percent 2 27" xfId="2641"/>
    <cellStyle name="Percent 2 28" xfId="2642"/>
    <cellStyle name="Percent 2 29" xfId="2643"/>
    <cellStyle name="Percent 2 3" xfId="2644"/>
    <cellStyle name="Percent 2 3 10" xfId="2645"/>
    <cellStyle name="Percent 2 3 11" xfId="2646"/>
    <cellStyle name="Percent 2 3 12" xfId="2647"/>
    <cellStyle name="Percent 2 3 13" xfId="2648"/>
    <cellStyle name="Percent 2 3 14" xfId="2649"/>
    <cellStyle name="Percent 2 3 15" xfId="2650"/>
    <cellStyle name="Percent 2 3 16" xfId="2651"/>
    <cellStyle name="Percent 2 3 2" xfId="2652"/>
    <cellStyle name="Percent 2 3 3" xfId="2653"/>
    <cellStyle name="Percent 2 3 3 2" xfId="2654"/>
    <cellStyle name="Percent 2 3 3 3" xfId="2655"/>
    <cellStyle name="Percent 2 3 3 3 2" xfId="2656"/>
    <cellStyle name="Percent 2 3 3 3 3" xfId="2657"/>
    <cellStyle name="Percent 2 3 3 3 4" xfId="2658"/>
    <cellStyle name="Percent 2 3 4" xfId="2659"/>
    <cellStyle name="Percent 2 3 5" xfId="2660"/>
    <cellStyle name="Percent 2 3 6" xfId="2661"/>
    <cellStyle name="Percent 2 3 7" xfId="2662"/>
    <cellStyle name="Percent 2 3 8" xfId="2663"/>
    <cellStyle name="Percent 2 3 9" xfId="2664"/>
    <cellStyle name="Percent 2 30" xfId="2665"/>
    <cellStyle name="Percent 2 31" xfId="2666"/>
    <cellStyle name="Percent 2 32" xfId="2667"/>
    <cellStyle name="Percent 2 33" xfId="2668"/>
    <cellStyle name="Percent 2 34" xfId="2669"/>
    <cellStyle name="Percent 2 35" xfId="2670"/>
    <cellStyle name="Percent 2 36" xfId="2671"/>
    <cellStyle name="Percent 2 37" xfId="2672"/>
    <cellStyle name="Percent 2 38" xfId="2673"/>
    <cellStyle name="Percent 2 39" xfId="2674"/>
    <cellStyle name="Percent 2 4" xfId="2675"/>
    <cellStyle name="Percent 2 4 10" xfId="2676"/>
    <cellStyle name="Percent 2 4 11" xfId="2677"/>
    <cellStyle name="Percent 2 4 12" xfId="2678"/>
    <cellStyle name="Percent 2 4 13" xfId="2679"/>
    <cellStyle name="Percent 2 4 14" xfId="2680"/>
    <cellStyle name="Percent 2 4 15" xfId="2681"/>
    <cellStyle name="Percent 2 4 16" xfId="2682"/>
    <cellStyle name="Percent 2 4 2" xfId="2683"/>
    <cellStyle name="Percent 2 4 3" xfId="2684"/>
    <cellStyle name="Percent 2 4 4" xfId="2685"/>
    <cellStyle name="Percent 2 4 5" xfId="2686"/>
    <cellStyle name="Percent 2 4 6" xfId="2687"/>
    <cellStyle name="Percent 2 4 7" xfId="2688"/>
    <cellStyle name="Percent 2 4 8" xfId="2689"/>
    <cellStyle name="Percent 2 4 9" xfId="2690"/>
    <cellStyle name="Percent 2 40" xfId="2691"/>
    <cellStyle name="Percent 2 41" xfId="2692"/>
    <cellStyle name="Percent 2 42" xfId="2693"/>
    <cellStyle name="Percent 2 43" xfId="2694"/>
    <cellStyle name="Percent 2 44" xfId="2695"/>
    <cellStyle name="Percent 2 45" xfId="2696"/>
    <cellStyle name="Percent 2 46" xfId="2697"/>
    <cellStyle name="Percent 2 47" xfId="2698"/>
    <cellStyle name="Percent 2 48" xfId="2699"/>
    <cellStyle name="Percent 2 48 2" xfId="2700"/>
    <cellStyle name="Percent 2 49" xfId="2701"/>
    <cellStyle name="Percent 2 49 2" xfId="2702"/>
    <cellStyle name="Percent 2 5" xfId="2703"/>
    <cellStyle name="Percent 2 5 10" xfId="2704"/>
    <cellStyle name="Percent 2 5 11" xfId="2705"/>
    <cellStyle name="Percent 2 5 12" xfId="2706"/>
    <cellStyle name="Percent 2 5 13" xfId="2707"/>
    <cellStyle name="Percent 2 5 14" xfId="2708"/>
    <cellStyle name="Percent 2 5 15" xfId="2709"/>
    <cellStyle name="Percent 2 5 2" xfId="2710"/>
    <cellStyle name="Percent 2 5 3" xfId="2711"/>
    <cellStyle name="Percent 2 5 4" xfId="2712"/>
    <cellStyle name="Percent 2 5 5" xfId="2713"/>
    <cellStyle name="Percent 2 5 6" xfId="2714"/>
    <cellStyle name="Percent 2 5 7" xfId="2715"/>
    <cellStyle name="Percent 2 5 8" xfId="2716"/>
    <cellStyle name="Percent 2 5 9" xfId="2717"/>
    <cellStyle name="Percent 2 50" xfId="2718"/>
    <cellStyle name="Percent 2 51" xfId="2719"/>
    <cellStyle name="Percent 2 52" xfId="2720"/>
    <cellStyle name="Percent 2 6" xfId="2721"/>
    <cellStyle name="Percent 2 6 10" xfId="2722"/>
    <cellStyle name="Percent 2 6 11" xfId="2723"/>
    <cellStyle name="Percent 2 6 12" xfId="2724"/>
    <cellStyle name="Percent 2 6 13" xfId="2725"/>
    <cellStyle name="Percent 2 6 14" xfId="2726"/>
    <cellStyle name="Percent 2 6 15" xfId="2727"/>
    <cellStyle name="Percent 2 6 2" xfId="2728"/>
    <cellStyle name="Percent 2 6 3" xfId="2729"/>
    <cellStyle name="Percent 2 6 4" xfId="2730"/>
    <cellStyle name="Percent 2 6 5" xfId="2731"/>
    <cellStyle name="Percent 2 6 6" xfId="2732"/>
    <cellStyle name="Percent 2 6 7" xfId="2733"/>
    <cellStyle name="Percent 2 6 8" xfId="2734"/>
    <cellStyle name="Percent 2 6 9" xfId="2735"/>
    <cellStyle name="Percent 2 7" xfId="2736"/>
    <cellStyle name="Percent 2 7 2" xfId="2737"/>
    <cellStyle name="Percent 2 8" xfId="2738"/>
    <cellStyle name="Percent 2 8 2" xfId="2739"/>
    <cellStyle name="Percent 2 9" xfId="2740"/>
    <cellStyle name="Percent 2 9 2" xfId="2741"/>
    <cellStyle name="Percent 20" xfId="2742"/>
    <cellStyle name="Percent 20 2" xfId="2743"/>
    <cellStyle name="Percent 20 3" xfId="2744"/>
    <cellStyle name="Percent 20 4" xfId="2745"/>
    <cellStyle name="Percent 20 5" xfId="2746"/>
    <cellStyle name="Percent 20 6" xfId="2747"/>
    <cellStyle name="Percent 20 7" xfId="2748"/>
    <cellStyle name="Percent 20 7 2" xfId="2749"/>
    <cellStyle name="Percent 20 7 3" xfId="2750"/>
    <cellStyle name="Percent 21" xfId="2751"/>
    <cellStyle name="Percent 21 2" xfId="2752"/>
    <cellStyle name="Percent 21 3" xfId="2753"/>
    <cellStyle name="Percent 21 4" xfId="2754"/>
    <cellStyle name="Percent 21 5" xfId="2755"/>
    <cellStyle name="Percent 21 6" xfId="2756"/>
    <cellStyle name="Percent 21 7" xfId="2757"/>
    <cellStyle name="Percent 21 7 2" xfId="2758"/>
    <cellStyle name="Percent 21 7 3" xfId="2759"/>
    <cellStyle name="Percent 22" xfId="2760"/>
    <cellStyle name="Percent 22 2" xfId="2761"/>
    <cellStyle name="Percent 22 3" xfId="2762"/>
    <cellStyle name="Percent 22 4" xfId="2763"/>
    <cellStyle name="Percent 22 5" xfId="2764"/>
    <cellStyle name="Percent 22 6" xfId="2765"/>
    <cellStyle name="Percent 22 7" xfId="2766"/>
    <cellStyle name="Percent 22 7 2" xfId="2767"/>
    <cellStyle name="Percent 22 7 3" xfId="2768"/>
    <cellStyle name="Percent 23" xfId="2769"/>
    <cellStyle name="Percent 23 2" xfId="2770"/>
    <cellStyle name="Percent 23 3" xfId="2771"/>
    <cellStyle name="Percent 23 4" xfId="2772"/>
    <cellStyle name="Percent 23 5" xfId="2773"/>
    <cellStyle name="Percent 23 6" xfId="2774"/>
    <cellStyle name="Percent 23 7" xfId="2775"/>
    <cellStyle name="Percent 23 7 2" xfId="2776"/>
    <cellStyle name="Percent 23 7 3" xfId="2777"/>
    <cellStyle name="Percent 24 2" xfId="2778"/>
    <cellStyle name="Percent 24 3" xfId="2779"/>
    <cellStyle name="Percent 24 4" xfId="2780"/>
    <cellStyle name="Percent 24 5" xfId="2781"/>
    <cellStyle name="Percent 24 6" xfId="2782"/>
    <cellStyle name="Percent 24 7" xfId="2783"/>
    <cellStyle name="Percent 24 7 2" xfId="2784"/>
    <cellStyle name="Percent 24 7 3" xfId="2785"/>
    <cellStyle name="Percent 25" xfId="2786"/>
    <cellStyle name="Percent 25 2" xfId="2787"/>
    <cellStyle name="Percent 25 3" xfId="2788"/>
    <cellStyle name="Percent 25 4" xfId="2789"/>
    <cellStyle name="Percent 25 5" xfId="2790"/>
    <cellStyle name="Percent 25 6" xfId="2791"/>
    <cellStyle name="Percent 25 7" xfId="2792"/>
    <cellStyle name="Percent 25 7 2" xfId="2793"/>
    <cellStyle name="Percent 25 7 3" xfId="2794"/>
    <cellStyle name="Percent 26" xfId="2795"/>
    <cellStyle name="Percent 26 2" xfId="2796"/>
    <cellStyle name="Percent 26 3" xfId="2797"/>
    <cellStyle name="Percent 26 4" xfId="2798"/>
    <cellStyle name="Percent 26 5" xfId="2799"/>
    <cellStyle name="Percent 26 6" xfId="2800"/>
    <cellStyle name="Percent 26 7" xfId="2801"/>
    <cellStyle name="Percent 26 7 2" xfId="2802"/>
    <cellStyle name="Percent 26 7 3" xfId="2803"/>
    <cellStyle name="Percent 27" xfId="2804"/>
    <cellStyle name="Percent 3" xfId="2805"/>
    <cellStyle name="Percent 3 10" xfId="2806"/>
    <cellStyle name="Percent 3 10 10" xfId="2807"/>
    <cellStyle name="Percent 3 10 11" xfId="2808"/>
    <cellStyle name="Percent 3 10 12" xfId="2809"/>
    <cellStyle name="Percent 3 10 13" xfId="2810"/>
    <cellStyle name="Percent 3 10 14" xfId="2811"/>
    <cellStyle name="Percent 3 10 15" xfId="2812"/>
    <cellStyle name="Percent 3 10 2" xfId="2813"/>
    <cellStyle name="Percent 3 10 3" xfId="2814"/>
    <cellStyle name="Percent 3 10 4" xfId="2815"/>
    <cellStyle name="Percent 3 10 5" xfId="2816"/>
    <cellStyle name="Percent 3 10 6" xfId="2817"/>
    <cellStyle name="Percent 3 10 7" xfId="2818"/>
    <cellStyle name="Percent 3 10 8" xfId="2819"/>
    <cellStyle name="Percent 3 10 9" xfId="2820"/>
    <cellStyle name="Percent 3 11" xfId="2821"/>
    <cellStyle name="Percent 3 12" xfId="2822"/>
    <cellStyle name="Percent 3 13" xfId="2823"/>
    <cellStyle name="Percent 3 14" xfId="2824"/>
    <cellStyle name="Percent 3 15" xfId="2825"/>
    <cellStyle name="Percent 3 16" xfId="2826"/>
    <cellStyle name="Percent 3 17" xfId="2827"/>
    <cellStyle name="Percent 3 18" xfId="2828"/>
    <cellStyle name="Percent 3 19" xfId="2829"/>
    <cellStyle name="Percent 3 2" xfId="2830"/>
    <cellStyle name="Percent 3 2 10" xfId="2831"/>
    <cellStyle name="Percent 3 2 11" xfId="2832"/>
    <cellStyle name="Percent 3 2 12" xfId="2833"/>
    <cellStyle name="Percent 3 2 13" xfId="2834"/>
    <cellStyle name="Percent 3 2 14" xfId="2835"/>
    <cellStyle name="Percent 3 2 15" xfId="2836"/>
    <cellStyle name="Percent 3 2 16" xfId="2837"/>
    <cellStyle name="Percent 3 2 17" xfId="2838"/>
    <cellStyle name="Percent 3 2 2" xfId="2839"/>
    <cellStyle name="Percent 3 2 2 2" xfId="2840"/>
    <cellStyle name="Percent 3 2 3" xfId="2841"/>
    <cellStyle name="Percent 3 2 3 2" xfId="2842"/>
    <cellStyle name="Percent 3 2 4" xfId="2843"/>
    <cellStyle name="Percent 3 2 5" xfId="2844"/>
    <cellStyle name="Percent 3 2 6" xfId="2845"/>
    <cellStyle name="Percent 3 2 7" xfId="2846"/>
    <cellStyle name="Percent 3 2 8" xfId="2847"/>
    <cellStyle name="Percent 3 2 9" xfId="2848"/>
    <cellStyle name="Percent 3 20" xfId="2849"/>
    <cellStyle name="Percent 3 21" xfId="2850"/>
    <cellStyle name="Percent 3 22" xfId="2851"/>
    <cellStyle name="Percent 3 23" xfId="2852"/>
    <cellStyle name="Percent 3 24" xfId="2853"/>
    <cellStyle name="Percent 3 25" xfId="2854"/>
    <cellStyle name="Percent 3 26" xfId="2855"/>
    <cellStyle name="Percent 3 27" xfId="2856"/>
    <cellStyle name="Percent 3 28" xfId="2857"/>
    <cellStyle name="Percent 3 29" xfId="2858"/>
    <cellStyle name="Percent 3 3" xfId="2859"/>
    <cellStyle name="Percent 3 3 10" xfId="2860"/>
    <cellStyle name="Percent 3 3 11" xfId="2861"/>
    <cellStyle name="Percent 3 3 12" xfId="2862"/>
    <cellStyle name="Percent 3 3 13" xfId="2863"/>
    <cellStyle name="Percent 3 3 14" xfId="2864"/>
    <cellStyle name="Percent 3 3 15" xfId="2865"/>
    <cellStyle name="Percent 3 3 2" xfId="2866"/>
    <cellStyle name="Percent 3 3 3" xfId="2867"/>
    <cellStyle name="Percent 3 3 3 2" xfId="2868"/>
    <cellStyle name="Percent 3 3 3 3" xfId="2869"/>
    <cellStyle name="Percent 3 3 3 3 2" xfId="2870"/>
    <cellStyle name="Percent 3 3 3 3 3" xfId="2871"/>
    <cellStyle name="Percent 3 3 3 3 4" xfId="2872"/>
    <cellStyle name="Percent 3 3 4" xfId="2873"/>
    <cellStyle name="Percent 3 3 4 2" xfId="2874"/>
    <cellStyle name="Percent 3 3 5" xfId="2875"/>
    <cellStyle name="Percent 3 3 6" xfId="2876"/>
    <cellStyle name="Percent 3 3 7" xfId="2877"/>
    <cellStyle name="Percent 3 3 8" xfId="2878"/>
    <cellStyle name="Percent 3 3 9" xfId="2879"/>
    <cellStyle name="Percent 3 30" xfId="2880"/>
    <cellStyle name="Percent 3 31" xfId="2881"/>
    <cellStyle name="Percent 3 4" xfId="2882"/>
    <cellStyle name="Percent 3 4 10" xfId="2883"/>
    <cellStyle name="Percent 3 4 11" xfId="2884"/>
    <cellStyle name="Percent 3 4 12" xfId="2885"/>
    <cellStyle name="Percent 3 4 13" xfId="2886"/>
    <cellStyle name="Percent 3 4 14" xfId="2887"/>
    <cellStyle name="Percent 3 4 15" xfId="2888"/>
    <cellStyle name="Percent 3 4 2" xfId="2889"/>
    <cellStyle name="Percent 3 4 3" xfId="2890"/>
    <cellStyle name="Percent 3 4 4" xfId="2891"/>
    <cellStyle name="Percent 3 4 5" xfId="2892"/>
    <cellStyle name="Percent 3 4 6" xfId="2893"/>
    <cellStyle name="Percent 3 4 7" xfId="2894"/>
    <cellStyle name="Percent 3 4 8" xfId="2895"/>
    <cellStyle name="Percent 3 4 9" xfId="2896"/>
    <cellStyle name="Percent 3 5" xfId="2897"/>
    <cellStyle name="Percent 3 5 10" xfId="2898"/>
    <cellStyle name="Percent 3 5 11" xfId="2899"/>
    <cellStyle name="Percent 3 5 12" xfId="2900"/>
    <cellStyle name="Percent 3 5 13" xfId="2901"/>
    <cellStyle name="Percent 3 5 14" xfId="2902"/>
    <cellStyle name="Percent 3 5 15" xfId="2903"/>
    <cellStyle name="Percent 3 5 16" xfId="2904"/>
    <cellStyle name="Percent 3 5 2" xfId="2905"/>
    <cellStyle name="Percent 3 5 3" xfId="2906"/>
    <cellStyle name="Percent 3 5 4" xfId="2907"/>
    <cellStyle name="Percent 3 5 5" xfId="2908"/>
    <cellStyle name="Percent 3 5 6" xfId="2909"/>
    <cellStyle name="Percent 3 5 7" xfId="2910"/>
    <cellStyle name="Percent 3 5 8" xfId="2911"/>
    <cellStyle name="Percent 3 5 9" xfId="2912"/>
    <cellStyle name="Percent 3 6" xfId="2913"/>
    <cellStyle name="Percent 3 6 10" xfId="2914"/>
    <cellStyle name="Percent 3 6 11" xfId="2915"/>
    <cellStyle name="Percent 3 6 12" xfId="2916"/>
    <cellStyle name="Percent 3 6 13" xfId="2917"/>
    <cellStyle name="Percent 3 6 14" xfId="2918"/>
    <cellStyle name="Percent 3 6 15" xfId="2919"/>
    <cellStyle name="Percent 3 6 2" xfId="2920"/>
    <cellStyle name="Percent 3 6 3" xfId="2921"/>
    <cellStyle name="Percent 3 6 4" xfId="2922"/>
    <cellStyle name="Percent 3 6 5" xfId="2923"/>
    <cellStyle name="Percent 3 6 6" xfId="2924"/>
    <cellStyle name="Percent 3 6 7" xfId="2925"/>
    <cellStyle name="Percent 3 6 8" xfId="2926"/>
    <cellStyle name="Percent 3 6 9" xfId="2927"/>
    <cellStyle name="Percent 3 7" xfId="2928"/>
    <cellStyle name="Percent 3 7 10" xfId="2929"/>
    <cellStyle name="Percent 3 7 11" xfId="2930"/>
    <cellStyle name="Percent 3 7 12" xfId="2931"/>
    <cellStyle name="Percent 3 7 13" xfId="2932"/>
    <cellStyle name="Percent 3 7 14" xfId="2933"/>
    <cellStyle name="Percent 3 7 15" xfId="2934"/>
    <cellStyle name="Percent 3 7 2" xfId="2935"/>
    <cellStyle name="Percent 3 7 3" xfId="2936"/>
    <cellStyle name="Percent 3 7 4" xfId="2937"/>
    <cellStyle name="Percent 3 7 5" xfId="2938"/>
    <cellStyle name="Percent 3 7 6" xfId="2939"/>
    <cellStyle name="Percent 3 7 7" xfId="2940"/>
    <cellStyle name="Percent 3 7 8" xfId="2941"/>
    <cellStyle name="Percent 3 7 9" xfId="2942"/>
    <cellStyle name="Percent 3 8" xfId="2943"/>
    <cellStyle name="Percent 3 8 10" xfId="2944"/>
    <cellStyle name="Percent 3 8 11" xfId="2945"/>
    <cellStyle name="Percent 3 8 12" xfId="2946"/>
    <cellStyle name="Percent 3 8 13" xfId="2947"/>
    <cellStyle name="Percent 3 8 14" xfId="2948"/>
    <cellStyle name="Percent 3 8 15" xfId="2949"/>
    <cellStyle name="Percent 3 8 2" xfId="2950"/>
    <cellStyle name="Percent 3 8 3" xfId="2951"/>
    <cellStyle name="Percent 3 8 4" xfId="2952"/>
    <cellStyle name="Percent 3 8 5" xfId="2953"/>
    <cellStyle name="Percent 3 8 6" xfId="2954"/>
    <cellStyle name="Percent 3 8 7" xfId="2955"/>
    <cellStyle name="Percent 3 8 8" xfId="2956"/>
    <cellStyle name="Percent 3 8 9" xfId="2957"/>
    <cellStyle name="Percent 3 9" xfId="2958"/>
    <cellStyle name="Percent 3 9 10" xfId="2959"/>
    <cellStyle name="Percent 3 9 11" xfId="2960"/>
    <cellStyle name="Percent 3 9 12" xfId="2961"/>
    <cellStyle name="Percent 3 9 13" xfId="2962"/>
    <cellStyle name="Percent 3 9 14" xfId="2963"/>
    <cellStyle name="Percent 3 9 15" xfId="2964"/>
    <cellStyle name="Percent 3 9 2" xfId="2965"/>
    <cellStyle name="Percent 3 9 3" xfId="2966"/>
    <cellStyle name="Percent 3 9 4" xfId="2967"/>
    <cellStyle name="Percent 3 9 5" xfId="2968"/>
    <cellStyle name="Percent 3 9 6" xfId="2969"/>
    <cellStyle name="Percent 3 9 7" xfId="2970"/>
    <cellStyle name="Percent 3 9 8" xfId="2971"/>
    <cellStyle name="Percent 3 9 9" xfId="2972"/>
    <cellStyle name="Percent 31" xfId="2973"/>
    <cellStyle name="Percent 4" xfId="2974"/>
    <cellStyle name="Percent 4 10" xfId="2975"/>
    <cellStyle name="Percent 4 11" xfId="2976"/>
    <cellStyle name="Percent 4 12" xfId="2977"/>
    <cellStyle name="Percent 4 13" xfId="2978"/>
    <cellStyle name="Percent 4 14" xfId="2979"/>
    <cellStyle name="Percent 4 15" xfId="2980"/>
    <cellStyle name="Percent 4 16" xfId="2981"/>
    <cellStyle name="Percent 4 17" xfId="2982"/>
    <cellStyle name="Percent 4 18" xfId="2983"/>
    <cellStyle name="Percent 4 19" xfId="2984"/>
    <cellStyle name="Percent 4 2" xfId="2985"/>
    <cellStyle name="Percent 4 2 2" xfId="2986"/>
    <cellStyle name="Percent 4 2 3" xfId="2987"/>
    <cellStyle name="Percent 4 2 4" xfId="2988"/>
    <cellStyle name="Percent 4 2 5" xfId="2989"/>
    <cellStyle name="Percent 4 20" xfId="2990"/>
    <cellStyle name="Percent 4 21" xfId="2991"/>
    <cellStyle name="Percent 4 22" xfId="2992"/>
    <cellStyle name="Percent 4 23" xfId="2993"/>
    <cellStyle name="Percent 4 24" xfId="2994"/>
    <cellStyle name="Percent 4 25" xfId="2995"/>
    <cellStyle name="Percent 4 26" xfId="2996"/>
    <cellStyle name="Percent 4 27" xfId="2997"/>
    <cellStyle name="Percent 4 28" xfId="2998"/>
    <cellStyle name="Percent 4 29" xfId="2999"/>
    <cellStyle name="Percent 4 29 2" xfId="3000"/>
    <cellStyle name="Percent 4 29 3" xfId="3001"/>
    <cellStyle name="Percent 4 3" xfId="3002"/>
    <cellStyle name="Percent 4 4" xfId="3003"/>
    <cellStyle name="Percent 4 4 2" xfId="3004"/>
    <cellStyle name="Percent 4 5" xfId="3005"/>
    <cellStyle name="Percent 4 5 2" xfId="3006"/>
    <cellStyle name="Percent 4 6" xfId="3007"/>
    <cellStyle name="Percent 4 7" xfId="3008"/>
    <cellStyle name="Percent 4 8" xfId="3009"/>
    <cellStyle name="Percent 4 9" xfId="3010"/>
    <cellStyle name="Percent 5" xfId="3011"/>
    <cellStyle name="Percent 5 2" xfId="3012"/>
    <cellStyle name="Percent 5 3" xfId="3013"/>
    <cellStyle name="Percent 5 3 2" xfId="3014"/>
    <cellStyle name="Percent 5 4" xfId="3015"/>
    <cellStyle name="Percent 6" xfId="3016"/>
    <cellStyle name="Percent 6 2" xfId="3017"/>
    <cellStyle name="Percent 7" xfId="3018"/>
    <cellStyle name="Percent 8" xfId="3019"/>
    <cellStyle name="Percent 8 2" xfId="3020"/>
    <cellStyle name="Percent 9" xfId="3021"/>
    <cellStyle name="Percent 9 10" xfId="3022"/>
    <cellStyle name="Percent 9 11" xfId="3023"/>
    <cellStyle name="Percent 9 12" xfId="3024"/>
    <cellStyle name="Percent 9 13" xfId="3025"/>
    <cellStyle name="Percent 9 14" xfId="3026"/>
    <cellStyle name="Percent 9 15" xfId="3027"/>
    <cellStyle name="Percent 9 16" xfId="3028"/>
    <cellStyle name="Percent 9 17" xfId="3029"/>
    <cellStyle name="Percent 9 18" xfId="3030"/>
    <cellStyle name="Percent 9 19" xfId="3031"/>
    <cellStyle name="Percent 9 2" xfId="3032"/>
    <cellStyle name="Percent 9 20" xfId="3033"/>
    <cellStyle name="Percent 9 3" xfId="3034"/>
    <cellStyle name="Percent 9 4" xfId="3035"/>
    <cellStyle name="Percent 9 5" xfId="3036"/>
    <cellStyle name="Percent 9 6" xfId="3037"/>
    <cellStyle name="Percent 9 7" xfId="3038"/>
    <cellStyle name="Percent 9 7 2" xfId="3039"/>
    <cellStyle name="Percent 9 7 3" xfId="3040"/>
    <cellStyle name="Percent 9 8" xfId="3041"/>
    <cellStyle name="Percent 9 9" xfId="3042"/>
    <cellStyle name="Percentagem 2 2" xfId="3043"/>
    <cellStyle name="Percentagem 2 3" xfId="3044"/>
    <cellStyle name="Pilkku_Layo9704" xfId="3045"/>
    <cellStyle name="Pyör. luku_Layo9704" xfId="3046"/>
    <cellStyle name="Pyör. valuutta_Layo9704" xfId="3047"/>
    <cellStyle name="Schlecht" xfId="3048"/>
    <cellStyle name="Shade" xfId="3049"/>
    <cellStyle name="source" xfId="3050"/>
    <cellStyle name="source 2" xfId="3051"/>
    <cellStyle name="source 2 2" xfId="3052"/>
    <cellStyle name="Standaard_Blad1" xfId="3053"/>
    <cellStyle name="Standard 2" xfId="3054"/>
    <cellStyle name="Standard 3" xfId="3055"/>
    <cellStyle name="Standard_FI00EU01" xfId="3056"/>
    <cellStyle name="Style 1" xfId="3057"/>
    <cellStyle name="Style 103" xfId="3058"/>
    <cellStyle name="Style 103 2" xfId="3059"/>
    <cellStyle name="Style 103 3" xfId="3060"/>
    <cellStyle name="Style 104" xfId="3061"/>
    <cellStyle name="Style 104 2" xfId="3062"/>
    <cellStyle name="Style 104 3" xfId="3063"/>
    <cellStyle name="Style 105" xfId="3064"/>
    <cellStyle name="Style 105 2" xfId="3065"/>
    <cellStyle name="Style 106" xfId="3066"/>
    <cellStyle name="Style 106 2" xfId="3067"/>
    <cellStyle name="Style 107" xfId="3068"/>
    <cellStyle name="Style 107 2" xfId="3069"/>
    <cellStyle name="Style 108" xfId="3070"/>
    <cellStyle name="Style 108 2" xfId="3071"/>
    <cellStyle name="Style 108 3" xfId="3072"/>
    <cellStyle name="Style 109" xfId="3073"/>
    <cellStyle name="Style 109 2" xfId="3074"/>
    <cellStyle name="Style 110" xfId="3075"/>
    <cellStyle name="Style 110 2" xfId="3076"/>
    <cellStyle name="Style 114" xfId="3077"/>
    <cellStyle name="Style 114 2" xfId="3078"/>
    <cellStyle name="Style 114 3" xfId="3079"/>
    <cellStyle name="Style 115" xfId="3080"/>
    <cellStyle name="Style 115 2" xfId="3081"/>
    <cellStyle name="Style 115 3" xfId="3082"/>
    <cellStyle name="Style 116" xfId="3083"/>
    <cellStyle name="Style 116 2" xfId="3084"/>
    <cellStyle name="Style 117" xfId="3085"/>
    <cellStyle name="Style 117 2" xfId="3086"/>
    <cellStyle name="Style 118" xfId="3087"/>
    <cellStyle name="Style 118 2" xfId="3088"/>
    <cellStyle name="Style 119" xfId="3089"/>
    <cellStyle name="Style 119 2" xfId="3090"/>
    <cellStyle name="Style 119 3" xfId="3091"/>
    <cellStyle name="Style 120" xfId="3092"/>
    <cellStyle name="Style 120 2" xfId="3093"/>
    <cellStyle name="Style 121" xfId="3094"/>
    <cellStyle name="Style 121 2" xfId="3095"/>
    <cellStyle name="Style 126" xfId="3096"/>
    <cellStyle name="Style 126 2" xfId="3097"/>
    <cellStyle name="Style 126 3" xfId="3098"/>
    <cellStyle name="Style 127" xfId="3099"/>
    <cellStyle name="Style 127 2" xfId="3100"/>
    <cellStyle name="Style 128" xfId="3101"/>
    <cellStyle name="Style 128 2" xfId="3102"/>
    <cellStyle name="Style 129" xfId="3103"/>
    <cellStyle name="Style 129 2" xfId="3104"/>
    <cellStyle name="Style 130" xfId="3105"/>
    <cellStyle name="Style 130 2" xfId="3106"/>
    <cellStyle name="Style 130 3" xfId="3107"/>
    <cellStyle name="Style 131" xfId="3108"/>
    <cellStyle name="Style 131 2" xfId="3109"/>
    <cellStyle name="Style 132" xfId="3110"/>
    <cellStyle name="Style 132 2" xfId="3111"/>
    <cellStyle name="Style 137" xfId="3112"/>
    <cellStyle name="Style 137 2" xfId="3113"/>
    <cellStyle name="Style 137 3" xfId="3114"/>
    <cellStyle name="Style 138" xfId="3115"/>
    <cellStyle name="Style 138 2" xfId="3116"/>
    <cellStyle name="Style 139" xfId="3117"/>
    <cellStyle name="Style 139 2" xfId="3118"/>
    <cellStyle name="Style 140" xfId="3119"/>
    <cellStyle name="Style 140 2" xfId="3120"/>
    <cellStyle name="Style 141" xfId="3121"/>
    <cellStyle name="Style 141 2" xfId="3122"/>
    <cellStyle name="Style 141 3" xfId="3123"/>
    <cellStyle name="Style 142" xfId="3124"/>
    <cellStyle name="Style 142 2" xfId="3125"/>
    <cellStyle name="Style 143" xfId="3126"/>
    <cellStyle name="Style 143 2" xfId="3127"/>
    <cellStyle name="Style 148" xfId="3128"/>
    <cellStyle name="Style 148 2" xfId="3129"/>
    <cellStyle name="Style 148 3" xfId="3130"/>
    <cellStyle name="Style 149" xfId="3131"/>
    <cellStyle name="Style 149 2" xfId="3132"/>
    <cellStyle name="Style 150" xfId="3133"/>
    <cellStyle name="Style 150 2" xfId="3134"/>
    <cellStyle name="Style 151" xfId="3135"/>
    <cellStyle name="Style 151 2" xfId="3136"/>
    <cellStyle name="Style 152" xfId="3137"/>
    <cellStyle name="Style 152 2" xfId="3138"/>
    <cellStyle name="Style 152 3" xfId="3139"/>
    <cellStyle name="Style 153" xfId="3140"/>
    <cellStyle name="Style 153 2" xfId="3141"/>
    <cellStyle name="Style 154" xfId="3142"/>
    <cellStyle name="Style 154 2" xfId="3143"/>
    <cellStyle name="Style 159" xfId="3144"/>
    <cellStyle name="Style 159 2" xfId="3145"/>
    <cellStyle name="Style 159 3" xfId="3146"/>
    <cellStyle name="Style 160" xfId="3147"/>
    <cellStyle name="Style 160 2" xfId="3148"/>
    <cellStyle name="Style 161" xfId="3149"/>
    <cellStyle name="Style 161 2" xfId="3150"/>
    <cellStyle name="Style 162" xfId="3151"/>
    <cellStyle name="Style 162 2" xfId="3152"/>
    <cellStyle name="Style 163" xfId="3153"/>
    <cellStyle name="Style 163 2" xfId="3154"/>
    <cellStyle name="Style 163 3" xfId="3155"/>
    <cellStyle name="Style 164" xfId="3156"/>
    <cellStyle name="Style 164 2" xfId="3157"/>
    <cellStyle name="Style 165" xfId="3158"/>
    <cellStyle name="Style 165 2" xfId="3159"/>
    <cellStyle name="Style 21" xfId="3160"/>
    <cellStyle name="Style 21 2" xfId="3161"/>
    <cellStyle name="Style 21 2 2" xfId="3162"/>
    <cellStyle name="Style 21 2 3" xfId="3163"/>
    <cellStyle name="Style 21 3" xfId="3164"/>
    <cellStyle name="Style 21 4" xfId="3165"/>
    <cellStyle name="Style 21 5" xfId="3166"/>
    <cellStyle name="Style 22" xfId="3167"/>
    <cellStyle name="Style 22 2" xfId="3168"/>
    <cellStyle name="Style 22 3" xfId="3169"/>
    <cellStyle name="Style 23" xfId="3170"/>
    <cellStyle name="Style 23 2" xfId="3171"/>
    <cellStyle name="Style 23 3" xfId="3172"/>
    <cellStyle name="Style 24" xfId="3173"/>
    <cellStyle name="Style 24 2" xfId="3174"/>
    <cellStyle name="Style 24 3" xfId="3175"/>
    <cellStyle name="Style 25" xfId="3176"/>
    <cellStyle name="Style 25 2" xfId="3177"/>
    <cellStyle name="Style 25 3" xfId="3178"/>
    <cellStyle name="Style 25 4" xfId="3179"/>
    <cellStyle name="Style 26" xfId="3180"/>
    <cellStyle name="Style 26 2" xfId="3181"/>
    <cellStyle name="Style 26 3" xfId="3182"/>
    <cellStyle name="Style 27" xfId="3183"/>
    <cellStyle name="Style 27 2" xfId="3184"/>
    <cellStyle name="Style 35" xfId="3185"/>
    <cellStyle name="Style 35 2" xfId="3186"/>
    <cellStyle name="Style 35 3" xfId="3187"/>
    <cellStyle name="Style 36" xfId="3188"/>
    <cellStyle name="Style 36 2" xfId="3189"/>
    <cellStyle name="Style 37" xfId="3190"/>
    <cellStyle name="Style 37 2" xfId="3191"/>
    <cellStyle name="Style 38" xfId="3192"/>
    <cellStyle name="Style 38 2" xfId="3193"/>
    <cellStyle name="Style 39" xfId="3194"/>
    <cellStyle name="Style 39 2" xfId="3195"/>
    <cellStyle name="Style 39 3" xfId="3196"/>
    <cellStyle name="Style 40" xfId="3197"/>
    <cellStyle name="Style 40 2" xfId="3198"/>
    <cellStyle name="Style 41" xfId="3199"/>
    <cellStyle name="Style 41 2" xfId="3200"/>
    <cellStyle name="Style 46" xfId="3201"/>
    <cellStyle name="Style 46 2" xfId="3202"/>
    <cellStyle name="Style 46 3" xfId="3203"/>
    <cellStyle name="Style 47" xfId="3204"/>
    <cellStyle name="Style 47 2" xfId="3205"/>
    <cellStyle name="Style 48" xfId="3206"/>
    <cellStyle name="Style 48 2" xfId="3207"/>
    <cellStyle name="Style 49" xfId="3208"/>
    <cellStyle name="Style 49 2" xfId="3209"/>
    <cellStyle name="Style 50" xfId="3210"/>
    <cellStyle name="Style 50 2" xfId="3211"/>
    <cellStyle name="Style 50 3" xfId="3212"/>
    <cellStyle name="Style 51" xfId="3213"/>
    <cellStyle name="Style 51 2" xfId="3214"/>
    <cellStyle name="Style 52" xfId="3215"/>
    <cellStyle name="Style 52 2" xfId="3216"/>
    <cellStyle name="Style 58" xfId="3217"/>
    <cellStyle name="Style 58 2" xfId="3218"/>
    <cellStyle name="Style 58 3" xfId="3219"/>
    <cellStyle name="Style 59" xfId="3220"/>
    <cellStyle name="Style 59 2" xfId="3221"/>
    <cellStyle name="Style 60" xfId="3222"/>
    <cellStyle name="Style 60 2" xfId="3223"/>
    <cellStyle name="Style 61" xfId="3224"/>
    <cellStyle name="Style 61 2" xfId="3225"/>
    <cellStyle name="Style 62" xfId="3226"/>
    <cellStyle name="Style 62 2" xfId="3227"/>
    <cellStyle name="Style 62 3" xfId="3228"/>
    <cellStyle name="Style 63" xfId="3229"/>
    <cellStyle name="Style 63 2" xfId="3230"/>
    <cellStyle name="Style 64" xfId="3231"/>
    <cellStyle name="Style 64 2" xfId="3232"/>
    <cellStyle name="Style 69" xfId="3233"/>
    <cellStyle name="Style 69 2" xfId="3234"/>
    <cellStyle name="Style 69 3" xfId="3235"/>
    <cellStyle name="Style 70" xfId="3236"/>
    <cellStyle name="Style 70 2" xfId="3237"/>
    <cellStyle name="Style 71" xfId="3238"/>
    <cellStyle name="Style 71 2" xfId="3239"/>
    <cellStyle name="Style 72" xfId="3240"/>
    <cellStyle name="Style 72 2" xfId="3241"/>
    <cellStyle name="Style 73" xfId="3242"/>
    <cellStyle name="Style 73 2" xfId="3243"/>
    <cellStyle name="Style 73 3" xfId="3244"/>
    <cellStyle name="Style 74" xfId="3245"/>
    <cellStyle name="Style 74 2" xfId="3246"/>
    <cellStyle name="Style 75" xfId="3247"/>
    <cellStyle name="Style 75 2" xfId="3248"/>
    <cellStyle name="Style 80" xfId="3249"/>
    <cellStyle name="Style 80 2" xfId="3250"/>
    <cellStyle name="Style 80 3" xfId="3251"/>
    <cellStyle name="Style 81" xfId="3252"/>
    <cellStyle name="Style 81 2" xfId="3253"/>
    <cellStyle name="Style 81 3" xfId="3254"/>
    <cellStyle name="Style 82" xfId="3255"/>
    <cellStyle name="Style 82 2" xfId="3256"/>
    <cellStyle name="Style 83" xfId="3257"/>
    <cellStyle name="Style 83 2" xfId="3258"/>
    <cellStyle name="Style 84" xfId="3259"/>
    <cellStyle name="Style 84 2" xfId="3260"/>
    <cellStyle name="Style 85" xfId="3261"/>
    <cellStyle name="Style 85 2" xfId="3262"/>
    <cellStyle name="Style 85 3" xfId="3263"/>
    <cellStyle name="Style 86" xfId="3264"/>
    <cellStyle name="Style 86 2" xfId="3265"/>
    <cellStyle name="Style 87" xfId="3266"/>
    <cellStyle name="Style 87 2" xfId="3267"/>
    <cellStyle name="Style 93" xfId="3268"/>
    <cellStyle name="Style 93 2" xfId="3269"/>
    <cellStyle name="Style 93 3" xfId="3270"/>
    <cellStyle name="Style 94" xfId="3271"/>
    <cellStyle name="Style 94 2" xfId="3272"/>
    <cellStyle name="Style 95" xfId="3273"/>
    <cellStyle name="Style 95 2" xfId="3274"/>
    <cellStyle name="Style 96" xfId="3275"/>
    <cellStyle name="Style 96 2" xfId="3276"/>
    <cellStyle name="Style 97" xfId="3277"/>
    <cellStyle name="Style 97 2" xfId="3278"/>
    <cellStyle name="Style 97 3" xfId="3279"/>
    <cellStyle name="Style 98" xfId="3280"/>
    <cellStyle name="Style 98 2" xfId="3281"/>
    <cellStyle name="Style 99" xfId="3282"/>
    <cellStyle name="Style 99 2" xfId="3283"/>
    <cellStyle name="tableau | cellule | normal | decimal 1" xfId="3284"/>
    <cellStyle name="tableau | cellule | normal | pourcentage | decimal 1" xfId="3285"/>
    <cellStyle name="tableau | cellule | total | decimal 1" xfId="3286"/>
    <cellStyle name="tableau | coin superieur gauche" xfId="3287"/>
    <cellStyle name="tableau | entete-colonne | series" xfId="3288"/>
    <cellStyle name="tableau | entete-ligne | normal" xfId="3289"/>
    <cellStyle name="tableau | entete-ligne | total" xfId="3290"/>
    <cellStyle name="tableau | ligne-titre | niveau1" xfId="3291"/>
    <cellStyle name="tableau | ligne-titre | niveau2" xfId="3292"/>
    <cellStyle name="Title" xfId="3293" builtinId="15" customBuiltin="1"/>
    <cellStyle name="Title 10" xfId="3294"/>
    <cellStyle name="Title 11" xfId="3295"/>
    <cellStyle name="Title 12" xfId="3296"/>
    <cellStyle name="Title 13" xfId="3297"/>
    <cellStyle name="Title 14" xfId="3298"/>
    <cellStyle name="Title 15" xfId="3299"/>
    <cellStyle name="Title 16" xfId="3300"/>
    <cellStyle name="Title 17" xfId="3301"/>
    <cellStyle name="Title 18" xfId="3302"/>
    <cellStyle name="Title 19" xfId="3303"/>
    <cellStyle name="Title 2" xfId="3304"/>
    <cellStyle name="Title 2 2" xfId="3305"/>
    <cellStyle name="Title 20" xfId="3306"/>
    <cellStyle name="Title 21" xfId="3307"/>
    <cellStyle name="Title 22" xfId="3308"/>
    <cellStyle name="Title 23" xfId="3309"/>
    <cellStyle name="Title 24" xfId="3310"/>
    <cellStyle name="Title 25" xfId="3311"/>
    <cellStyle name="Title 26" xfId="3312"/>
    <cellStyle name="Title 27" xfId="3313"/>
    <cellStyle name="Title 28" xfId="3314"/>
    <cellStyle name="Title 29" xfId="3315"/>
    <cellStyle name="Title 3" xfId="3316"/>
    <cellStyle name="Title 3 2" xfId="3317"/>
    <cellStyle name="Title 30" xfId="3318"/>
    <cellStyle name="Title 31" xfId="3319"/>
    <cellStyle name="Title 32" xfId="3320"/>
    <cellStyle name="Title 33" xfId="3321"/>
    <cellStyle name="Title 34" xfId="3322"/>
    <cellStyle name="Title 35" xfId="3323"/>
    <cellStyle name="Title 36" xfId="3324"/>
    <cellStyle name="Title 37" xfId="3325"/>
    <cellStyle name="Title 38" xfId="3326"/>
    <cellStyle name="Title 39" xfId="3327"/>
    <cellStyle name="Title 4" xfId="3328"/>
    <cellStyle name="Title 40" xfId="3329"/>
    <cellStyle name="Title 41" xfId="3330"/>
    <cellStyle name="Title 42" xfId="3331"/>
    <cellStyle name="Title 43" xfId="3332"/>
    <cellStyle name="Title 5" xfId="3333"/>
    <cellStyle name="Title 6" xfId="3334"/>
    <cellStyle name="Title 7" xfId="3335"/>
    <cellStyle name="Title 8" xfId="3336"/>
    <cellStyle name="Title 9" xfId="3337"/>
    <cellStyle name="Total" xfId="3338" builtinId="25" customBuiltin="1"/>
    <cellStyle name="Total 10" xfId="3339"/>
    <cellStyle name="Total 11" xfId="3340"/>
    <cellStyle name="Total 12" xfId="3341"/>
    <cellStyle name="Total 13" xfId="3342"/>
    <cellStyle name="Total 14" xfId="3343"/>
    <cellStyle name="Total 15" xfId="3344"/>
    <cellStyle name="Total 16" xfId="3345"/>
    <cellStyle name="Total 17" xfId="3346"/>
    <cellStyle name="Total 18" xfId="3347"/>
    <cellStyle name="Total 19" xfId="3348"/>
    <cellStyle name="Total 2" xfId="3349"/>
    <cellStyle name="Total 2 2" xfId="3350"/>
    <cellStyle name="Total 20" xfId="3351"/>
    <cellStyle name="Total 21" xfId="3352"/>
    <cellStyle name="Total 22" xfId="3353"/>
    <cellStyle name="Total 23" xfId="3354"/>
    <cellStyle name="Total 24" xfId="3355"/>
    <cellStyle name="Total 25" xfId="3356"/>
    <cellStyle name="Total 26" xfId="3357"/>
    <cellStyle name="Total 27" xfId="3358"/>
    <cellStyle name="Total 28" xfId="3359"/>
    <cellStyle name="Total 29" xfId="3360"/>
    <cellStyle name="Total 3" xfId="3361"/>
    <cellStyle name="Total 3 2" xfId="3362"/>
    <cellStyle name="Total 30" xfId="3363"/>
    <cellStyle name="Total 31" xfId="3364"/>
    <cellStyle name="Total 32" xfId="3365"/>
    <cellStyle name="Total 33" xfId="3366"/>
    <cellStyle name="Total 34" xfId="3367"/>
    <cellStyle name="Total 35" xfId="3368"/>
    <cellStyle name="Total 36" xfId="3369"/>
    <cellStyle name="Total 37" xfId="3370"/>
    <cellStyle name="Total 38" xfId="3371"/>
    <cellStyle name="Total 39" xfId="3372"/>
    <cellStyle name="Total 4" xfId="3373"/>
    <cellStyle name="Total 40" xfId="3374"/>
    <cellStyle name="Total 41" xfId="3375"/>
    <cellStyle name="Total 42" xfId="3376"/>
    <cellStyle name="Total 5" xfId="3377"/>
    <cellStyle name="Total 6" xfId="3378"/>
    <cellStyle name="Total 7" xfId="3379"/>
    <cellStyle name="Total 8" xfId="3380"/>
    <cellStyle name="Total 9" xfId="3381"/>
    <cellStyle name="Überschrift" xfId="3382"/>
    <cellStyle name="Überschrift 1" xfId="3383"/>
    <cellStyle name="Überschrift 2" xfId="3384"/>
    <cellStyle name="Überschrift 3" xfId="3385"/>
    <cellStyle name="Überschrift 4" xfId="3386"/>
    <cellStyle name="Valuutta_Layo9704" xfId="3387"/>
    <cellStyle name="Verknüpfte Zelle" xfId="3388"/>
    <cellStyle name="Warnender Text" xfId="3389"/>
    <cellStyle name="Warning Text" xfId="3390" builtinId="11" customBuiltin="1"/>
    <cellStyle name="Warning Text 10" xfId="3391"/>
    <cellStyle name="Warning Text 11" xfId="3392"/>
    <cellStyle name="Warning Text 12" xfId="3393"/>
    <cellStyle name="Warning Text 13" xfId="3394"/>
    <cellStyle name="Warning Text 14" xfId="3395"/>
    <cellStyle name="Warning Text 15" xfId="3396"/>
    <cellStyle name="Warning Text 16" xfId="3397"/>
    <cellStyle name="Warning Text 17" xfId="3398"/>
    <cellStyle name="Warning Text 18" xfId="3399"/>
    <cellStyle name="Warning Text 19" xfId="3400"/>
    <cellStyle name="Warning Text 2" xfId="3401"/>
    <cellStyle name="Warning Text 2 2" xfId="3402"/>
    <cellStyle name="Warning Text 20" xfId="3403"/>
    <cellStyle name="Warning Text 21" xfId="3404"/>
    <cellStyle name="Warning Text 22" xfId="3405"/>
    <cellStyle name="Warning Text 23" xfId="3406"/>
    <cellStyle name="Warning Text 24" xfId="3407"/>
    <cellStyle name="Warning Text 25" xfId="3408"/>
    <cellStyle name="Warning Text 26" xfId="3409"/>
    <cellStyle name="Warning Text 27" xfId="3410"/>
    <cellStyle name="Warning Text 28" xfId="3411"/>
    <cellStyle name="Warning Text 29" xfId="3412"/>
    <cellStyle name="Warning Text 3" xfId="3413"/>
    <cellStyle name="Warning Text 3 2" xfId="3414"/>
    <cellStyle name="Warning Text 30" xfId="3415"/>
    <cellStyle name="Warning Text 31" xfId="3416"/>
    <cellStyle name="Warning Text 32" xfId="3417"/>
    <cellStyle name="Warning Text 33" xfId="3418"/>
    <cellStyle name="Warning Text 34" xfId="3419"/>
    <cellStyle name="Warning Text 35" xfId="3420"/>
    <cellStyle name="Warning Text 36" xfId="3421"/>
    <cellStyle name="Warning Text 37" xfId="3422"/>
    <cellStyle name="Warning Text 38" xfId="3423"/>
    <cellStyle name="Warning Text 39" xfId="3424"/>
    <cellStyle name="Warning Text 4" xfId="3425"/>
    <cellStyle name="Warning Text 40" xfId="3426"/>
    <cellStyle name="Warning Text 41" xfId="3427"/>
    <cellStyle name="Warning Text 5" xfId="3428"/>
    <cellStyle name="Warning Text 6" xfId="3429"/>
    <cellStyle name="Warning Text 7" xfId="3430"/>
    <cellStyle name="Warning Text 8" xfId="3431"/>
    <cellStyle name="Warning Text 9" xfId="3432"/>
    <cellStyle name="Year" xfId="3433"/>
    <cellStyle name="Zelle überprüfen" xfId="3434"/>
    <cellStyle name="Гиперссылка" xfId="3435"/>
    <cellStyle name="Гиперссылка 2" xfId="3436"/>
    <cellStyle name="Обычный_2++" xfId="3437"/>
    <cellStyle name="已访问的超链接" xfId="3438"/>
  </cellStyles>
  <dxfs count="3">
    <dxf>
      <numFmt numFmtId="186" formatCode="0.0"/>
    </dxf>
    <dxf>
      <numFmt numFmtId="209" formatCode="0.0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NL!$D$6</c:f>
              <c:strCache>
                <c:ptCount val="1"/>
                <c:pt idx="0">
                  <c:v>Average 2016-2018</c:v>
                </c:pt>
              </c:strCache>
            </c:strRef>
          </c:tx>
          <c:marker>
            <c:symbol val="none"/>
          </c:marker>
          <c:cat>
            <c:numRef>
              <c:f>NL!$C$7:$C$17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NL!$D$7:$D$17</c:f>
              <c:numCache>
                <c:formatCode>0.0</c:formatCode>
                <c:ptCount val="11"/>
                <c:pt idx="0" formatCode="General">
                  <c:v>99.7</c:v>
                </c:pt>
                <c:pt idx="1">
                  <c:v>97.589200000000005</c:v>
                </c:pt>
                <c:pt idx="2">
                  <c:v>95.478400000000008</c:v>
                </c:pt>
                <c:pt idx="3">
                  <c:v>93.36760000000001</c:v>
                </c:pt>
                <c:pt idx="4">
                  <c:v>91.256800000000013</c:v>
                </c:pt>
                <c:pt idx="5">
                  <c:v>89.146000000000015</c:v>
                </c:pt>
                <c:pt idx="6">
                  <c:v>87.035200000000017</c:v>
                </c:pt>
                <c:pt idx="7">
                  <c:v>84.92440000000002</c:v>
                </c:pt>
                <c:pt idx="8">
                  <c:v>82.813600000000022</c:v>
                </c:pt>
                <c:pt idx="9">
                  <c:v>80.702800000000025</c:v>
                </c:pt>
                <c:pt idx="10">
                  <c:v>78.591999999999999</c:v>
                </c:pt>
              </c:numCache>
            </c:numRef>
          </c:val>
          <c:smooth val="0"/>
          <c:extLst>
            <c:ext xmlns:c16="http://schemas.microsoft.com/office/drawing/2014/chart" uri="{C3380CC4-5D6E-409C-BE32-E72D297353CC}">
              <c16:uniqueId val="{00000000-0AEE-40FD-97FC-9588A469EF53}"/>
            </c:ext>
          </c:extLst>
        </c:ser>
        <c:ser>
          <c:idx val="1"/>
          <c:order val="1"/>
          <c:tx>
            <c:strRef>
              <c:f>NL!$E$6</c:f>
              <c:strCache>
                <c:ptCount val="1"/>
                <c:pt idx="0">
                  <c:v>Alternative 2020</c:v>
                </c:pt>
              </c:strCache>
            </c:strRef>
          </c:tx>
          <c:marker>
            <c:symbol val="none"/>
          </c:marker>
          <c:cat>
            <c:numRef>
              <c:f>NL!$C$7:$C$17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NL!$E$7:$E$17</c:f>
              <c:numCache>
                <c:formatCode>0.0</c:formatCode>
                <c:ptCount val="11"/>
                <c:pt idx="0">
                  <c:v>95.4</c:v>
                </c:pt>
                <c:pt idx="1">
                  <c:v>93.719200000000001</c:v>
                </c:pt>
                <c:pt idx="2">
                  <c:v>92.038399999999996</c:v>
                </c:pt>
                <c:pt idx="3">
                  <c:v>90.357599999999991</c:v>
                </c:pt>
                <c:pt idx="4">
                  <c:v>88.676799999999986</c:v>
                </c:pt>
                <c:pt idx="5">
                  <c:v>86.995999999999981</c:v>
                </c:pt>
                <c:pt idx="6">
                  <c:v>85.315199999999976</c:v>
                </c:pt>
                <c:pt idx="7">
                  <c:v>83.634399999999971</c:v>
                </c:pt>
                <c:pt idx="8">
                  <c:v>81.953599999999966</c:v>
                </c:pt>
                <c:pt idx="9">
                  <c:v>80.272799999999961</c:v>
                </c:pt>
                <c:pt idx="10">
                  <c:v>78.591999999999999</c:v>
                </c:pt>
              </c:numCache>
            </c:numRef>
          </c:val>
          <c:smooth val="0"/>
          <c:extLst>
            <c:ext xmlns:c16="http://schemas.microsoft.com/office/drawing/2014/chart" uri="{C3380CC4-5D6E-409C-BE32-E72D297353CC}">
              <c16:uniqueId val="{00000001-0AEE-40FD-97FC-9588A469EF53}"/>
            </c:ext>
          </c:extLst>
        </c:ser>
        <c:dLbls>
          <c:showLegendKey val="0"/>
          <c:showVal val="0"/>
          <c:showCatName val="0"/>
          <c:showSerName val="0"/>
          <c:showPercent val="0"/>
          <c:showBubbleSize val="0"/>
        </c:dLbls>
        <c:smooth val="0"/>
        <c:axId val="352777056"/>
        <c:axId val="1"/>
      </c:lineChart>
      <c:catAx>
        <c:axId val="352777056"/>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35277705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'EU28 COM2016 482'!$D$6</c:f>
              <c:strCache>
                <c:ptCount val="1"/>
                <c:pt idx="0">
                  <c:v>S1 Average 2016-2018</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482'!$D$7:$D$17</c:f>
              <c:numCache>
                <c:formatCode>0</c:formatCode>
                <c:ptCount val="11"/>
                <c:pt idx="0">
                  <c:v>2492.3762499999998</c:v>
                </c:pt>
                <c:pt idx="1">
                  <c:v>2442.5287249999997</c:v>
                </c:pt>
                <c:pt idx="2">
                  <c:v>2392.6811999999995</c:v>
                </c:pt>
                <c:pt idx="3">
                  <c:v>2342.8336749999994</c:v>
                </c:pt>
                <c:pt idx="4">
                  <c:v>2292.9861499999993</c:v>
                </c:pt>
                <c:pt idx="5">
                  <c:v>2243.1386249999991</c:v>
                </c:pt>
                <c:pt idx="6">
                  <c:v>2193.291099999999</c:v>
                </c:pt>
                <c:pt idx="7">
                  <c:v>2143.4435749999989</c:v>
                </c:pt>
                <c:pt idx="8">
                  <c:v>2093.5960499999987</c:v>
                </c:pt>
                <c:pt idx="9">
                  <c:v>2043.7485249999988</c:v>
                </c:pt>
                <c:pt idx="10">
                  <c:v>1993.9009999999998</c:v>
                </c:pt>
              </c:numCache>
            </c:numRef>
          </c:val>
          <c:smooth val="0"/>
          <c:extLst>
            <c:ext xmlns:c16="http://schemas.microsoft.com/office/drawing/2014/chart" uri="{C3380CC4-5D6E-409C-BE32-E72D297353CC}">
              <c16:uniqueId val="{00000000-7DDD-4515-8F4A-36B43458CC7F}"/>
            </c:ext>
          </c:extLst>
        </c:ser>
        <c:ser>
          <c:idx val="1"/>
          <c:order val="1"/>
          <c:tx>
            <c:strRef>
              <c:f>'EU28 COM2016 482'!$E$6</c:f>
              <c:strCache>
                <c:ptCount val="1"/>
                <c:pt idx="0">
                  <c:v>S2 Alternative 2020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482'!$E$7:$E$17</c:f>
              <c:numCache>
                <c:formatCode>0</c:formatCode>
                <c:ptCount val="11"/>
                <c:pt idx="0">
                  <c:v>2364.1889307735019</c:v>
                </c:pt>
                <c:pt idx="1">
                  <c:v>2327.1601376961517</c:v>
                </c:pt>
                <c:pt idx="2">
                  <c:v>2290.1313446188014</c:v>
                </c:pt>
                <c:pt idx="3">
                  <c:v>2253.1025515414512</c:v>
                </c:pt>
                <c:pt idx="4">
                  <c:v>2216.073758464101</c:v>
                </c:pt>
                <c:pt idx="5">
                  <c:v>2179.0449653867508</c:v>
                </c:pt>
                <c:pt idx="6">
                  <c:v>2142.0161723094006</c:v>
                </c:pt>
                <c:pt idx="7">
                  <c:v>2104.9873792320504</c:v>
                </c:pt>
                <c:pt idx="8">
                  <c:v>2067.9585861547002</c:v>
                </c:pt>
                <c:pt idx="9">
                  <c:v>2030.92979307735</c:v>
                </c:pt>
                <c:pt idx="10">
                  <c:v>1993.9009999999998</c:v>
                </c:pt>
              </c:numCache>
            </c:numRef>
          </c:val>
          <c:smooth val="0"/>
          <c:extLst>
            <c:ext xmlns:c16="http://schemas.microsoft.com/office/drawing/2014/chart" uri="{C3380CC4-5D6E-409C-BE32-E72D297353CC}">
              <c16:uniqueId val="{00000001-7DDD-4515-8F4A-36B43458CC7F}"/>
            </c:ext>
          </c:extLst>
        </c:ser>
        <c:ser>
          <c:idx val="2"/>
          <c:order val="2"/>
          <c:tx>
            <c:strRef>
              <c:f>'EU28 COM2016 482'!$F$6</c:f>
              <c:strCache>
                <c:ptCount val="1"/>
                <c:pt idx="0">
                  <c:v>REF2016</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482'!$F$7:$F$17</c:f>
              <c:numCache>
                <c:formatCode>0</c:formatCode>
                <c:ptCount val="11"/>
                <c:pt idx="0">
                  <c:v>2364.1889307735019</c:v>
                </c:pt>
                <c:pt idx="1">
                  <c:v>2344.8887529260869</c:v>
                </c:pt>
                <c:pt idx="2">
                  <c:v>2325.588575078672</c:v>
                </c:pt>
                <c:pt idx="3">
                  <c:v>2306.288397231257</c:v>
                </c:pt>
                <c:pt idx="4">
                  <c:v>2286.9882193838421</c:v>
                </c:pt>
                <c:pt idx="5">
                  <c:v>2267.6880415364267</c:v>
                </c:pt>
                <c:pt idx="6">
                  <c:v>2244.2531468367542</c:v>
                </c:pt>
                <c:pt idx="7">
                  <c:v>2220.8182521370818</c:v>
                </c:pt>
                <c:pt idx="8">
                  <c:v>2197.3833574374094</c:v>
                </c:pt>
                <c:pt idx="9">
                  <c:v>2173.9484627377369</c:v>
                </c:pt>
                <c:pt idx="10">
                  <c:v>2150.5135680380645</c:v>
                </c:pt>
              </c:numCache>
            </c:numRef>
          </c:val>
          <c:smooth val="0"/>
          <c:extLst>
            <c:ext xmlns:c16="http://schemas.microsoft.com/office/drawing/2014/chart" uri="{C3380CC4-5D6E-409C-BE32-E72D297353CC}">
              <c16:uniqueId val="{00000002-7DDD-4515-8F4A-36B43458CC7F}"/>
            </c:ext>
          </c:extLst>
        </c:ser>
        <c:ser>
          <c:idx val="3"/>
          <c:order val="3"/>
          <c:tx>
            <c:strRef>
              <c:f>'EU28 COM2016 482'!$G$6</c:f>
              <c:strCache>
                <c:ptCount val="1"/>
                <c:pt idx="0">
                  <c:v>EUCO30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482'!$G$7:$G$17</c:f>
              <c:numCache>
                <c:formatCode>0</c:formatCode>
                <c:ptCount val="11"/>
                <c:pt idx="0">
                  <c:v>2380.6129941267463</c:v>
                </c:pt>
                <c:pt idx="1">
                  <c:v>2341.9831867184716</c:v>
                </c:pt>
                <c:pt idx="2">
                  <c:v>2303.3533793101969</c:v>
                </c:pt>
                <c:pt idx="3">
                  <c:v>2264.7235719019222</c:v>
                </c:pt>
                <c:pt idx="4">
                  <c:v>2226.0937644936475</c:v>
                </c:pt>
                <c:pt idx="5">
                  <c:v>2187.4639570853724</c:v>
                </c:pt>
                <c:pt idx="6">
                  <c:v>2144.2525246222881</c:v>
                </c:pt>
                <c:pt idx="7">
                  <c:v>2101.0410921592038</c:v>
                </c:pt>
                <c:pt idx="8">
                  <c:v>2057.8296596961195</c:v>
                </c:pt>
                <c:pt idx="9">
                  <c:v>2014.6182272330352</c:v>
                </c:pt>
                <c:pt idx="10">
                  <c:v>1971.4067947699505</c:v>
                </c:pt>
              </c:numCache>
            </c:numRef>
          </c:val>
          <c:smooth val="0"/>
          <c:extLst>
            <c:ext xmlns:c16="http://schemas.microsoft.com/office/drawing/2014/chart" uri="{C3380CC4-5D6E-409C-BE32-E72D297353CC}">
              <c16:uniqueId val="{00000003-7DDD-4515-8F4A-36B43458CC7F}"/>
            </c:ext>
          </c:extLst>
        </c:ser>
        <c:dLbls>
          <c:showLegendKey val="0"/>
          <c:showVal val="0"/>
          <c:showCatName val="0"/>
          <c:showSerName val="0"/>
          <c:showPercent val="0"/>
          <c:showBubbleSize val="0"/>
        </c:dLbls>
        <c:smooth val="0"/>
        <c:axId val="505668816"/>
        <c:axId val="1"/>
      </c:lineChart>
      <c:catAx>
        <c:axId val="505668816"/>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min val="1000"/>
        </c:scaling>
        <c:delete val="0"/>
        <c:axPos val="l"/>
        <c:majorGridlines/>
        <c:numFmt formatCode="0" sourceLinked="1"/>
        <c:majorTickMark val="out"/>
        <c:minorTickMark val="none"/>
        <c:tickLblPos val="nextTo"/>
        <c:crossAx val="505668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'EU28 COM2016 482'!$I$6</c:f>
              <c:strCache>
                <c:ptCount val="1"/>
                <c:pt idx="0">
                  <c:v>S1 Average 2016-2018</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482'!$I$7:$I$17</c:f>
              <c:numCache>
                <c:formatCode>0.00</c:formatCode>
                <c:ptCount val="11"/>
                <c:pt idx="0">
                  <c:v>-0.125</c:v>
                </c:pt>
                <c:pt idx="1">
                  <c:v>-0.14250000000000007</c:v>
                </c:pt>
                <c:pt idx="2">
                  <c:v>-0.16000000000000014</c:v>
                </c:pt>
                <c:pt idx="3">
                  <c:v>-0.17750000000000021</c:v>
                </c:pt>
                <c:pt idx="4">
                  <c:v>-0.19500000000000017</c:v>
                </c:pt>
                <c:pt idx="5">
                  <c:v>-0.21250000000000024</c:v>
                </c:pt>
                <c:pt idx="6">
                  <c:v>-0.23000000000000032</c:v>
                </c:pt>
                <c:pt idx="7">
                  <c:v>-0.24750000000000039</c:v>
                </c:pt>
                <c:pt idx="8">
                  <c:v>-0.26500000000000035</c:v>
                </c:pt>
                <c:pt idx="9">
                  <c:v>-0.28250000000000042</c:v>
                </c:pt>
                <c:pt idx="10">
                  <c:v>-0.30000000000000004</c:v>
                </c:pt>
              </c:numCache>
            </c:numRef>
          </c:val>
          <c:smooth val="0"/>
          <c:extLst>
            <c:ext xmlns:c16="http://schemas.microsoft.com/office/drawing/2014/chart" uri="{C3380CC4-5D6E-409C-BE32-E72D297353CC}">
              <c16:uniqueId val="{00000000-9AA2-4E9A-9CA7-8649A7535D54}"/>
            </c:ext>
          </c:extLst>
        </c:ser>
        <c:ser>
          <c:idx val="1"/>
          <c:order val="1"/>
          <c:tx>
            <c:strRef>
              <c:f>'EU28 COM2016 482'!$J$6</c:f>
              <c:strCache>
                <c:ptCount val="1"/>
                <c:pt idx="0">
                  <c:v>S2 Alternative 2020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482'!$J$7:$J$17</c:f>
              <c:numCache>
                <c:formatCode>0.00</c:formatCode>
                <c:ptCount val="11"/>
                <c:pt idx="0">
                  <c:v>-0.17000279776104665</c:v>
                </c:pt>
                <c:pt idx="1">
                  <c:v>-0.18300251798494194</c:v>
                </c:pt>
                <c:pt idx="2">
                  <c:v>-0.19600223820883733</c:v>
                </c:pt>
                <c:pt idx="3">
                  <c:v>-0.20900195843273262</c:v>
                </c:pt>
                <c:pt idx="4">
                  <c:v>-0.22200167865662801</c:v>
                </c:pt>
                <c:pt idx="5">
                  <c:v>-0.23500139888052329</c:v>
                </c:pt>
                <c:pt idx="6">
                  <c:v>-0.24800111910441869</c:v>
                </c:pt>
                <c:pt idx="7">
                  <c:v>-0.26100083932831397</c:v>
                </c:pt>
                <c:pt idx="8">
                  <c:v>-0.27400055955220937</c:v>
                </c:pt>
                <c:pt idx="9">
                  <c:v>-0.28700027977610465</c:v>
                </c:pt>
                <c:pt idx="10">
                  <c:v>-0.30000000000000004</c:v>
                </c:pt>
              </c:numCache>
            </c:numRef>
          </c:val>
          <c:smooth val="0"/>
          <c:extLst>
            <c:ext xmlns:c16="http://schemas.microsoft.com/office/drawing/2014/chart" uri="{C3380CC4-5D6E-409C-BE32-E72D297353CC}">
              <c16:uniqueId val="{00000001-9AA2-4E9A-9CA7-8649A7535D54}"/>
            </c:ext>
          </c:extLst>
        </c:ser>
        <c:ser>
          <c:idx val="2"/>
          <c:order val="2"/>
          <c:tx>
            <c:strRef>
              <c:f>'EU28 COM2016 482'!$K$6</c:f>
              <c:strCache>
                <c:ptCount val="1"/>
                <c:pt idx="0">
                  <c:v>REF2016</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482'!$K$7:$K$17</c:f>
              <c:numCache>
                <c:formatCode>0.00</c:formatCode>
                <c:ptCount val="11"/>
                <c:pt idx="0">
                  <c:v>-0.17000279776104665</c:v>
                </c:pt>
                <c:pt idx="1">
                  <c:v>-0.17677852258047866</c:v>
                </c:pt>
                <c:pt idx="2">
                  <c:v>-0.18355424739991077</c:v>
                </c:pt>
                <c:pt idx="3">
                  <c:v>-0.19032997221934289</c:v>
                </c:pt>
                <c:pt idx="4">
                  <c:v>-0.19710569703877501</c:v>
                </c:pt>
                <c:pt idx="5">
                  <c:v>-0.20388142185820723</c:v>
                </c:pt>
                <c:pt idx="6">
                  <c:v>-0.21210872416146631</c:v>
                </c:pt>
                <c:pt idx="7">
                  <c:v>-0.2203360264647255</c:v>
                </c:pt>
                <c:pt idx="8">
                  <c:v>-0.22856332876798469</c:v>
                </c:pt>
                <c:pt idx="9">
                  <c:v>-0.23679063107124376</c:v>
                </c:pt>
                <c:pt idx="10">
                  <c:v>-0.24501793337450295</c:v>
                </c:pt>
              </c:numCache>
            </c:numRef>
          </c:val>
          <c:smooth val="0"/>
          <c:extLst>
            <c:ext xmlns:c16="http://schemas.microsoft.com/office/drawing/2014/chart" uri="{C3380CC4-5D6E-409C-BE32-E72D297353CC}">
              <c16:uniqueId val="{00000002-9AA2-4E9A-9CA7-8649A7535D54}"/>
            </c:ext>
          </c:extLst>
        </c:ser>
        <c:ser>
          <c:idx val="3"/>
          <c:order val="3"/>
          <c:tx>
            <c:strRef>
              <c:f>'EU28 COM2016 482'!$L$6</c:f>
              <c:strCache>
                <c:ptCount val="1"/>
                <c:pt idx="0">
                  <c:v>EUCO30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482'!$L$7:$L$17</c:f>
              <c:numCache>
                <c:formatCode>0.00</c:formatCode>
                <c:ptCount val="11"/>
                <c:pt idx="0">
                  <c:v>-0.16423679215331022</c:v>
                </c:pt>
                <c:pt idx="1">
                  <c:v>-0.17779858142258309</c:v>
                </c:pt>
                <c:pt idx="2">
                  <c:v>-0.19136037069185585</c:v>
                </c:pt>
                <c:pt idx="3">
                  <c:v>-0.20492215996112861</c:v>
                </c:pt>
                <c:pt idx="4">
                  <c:v>-0.21848394923040138</c:v>
                </c:pt>
                <c:pt idx="5">
                  <c:v>-0.23204573849967436</c:v>
                </c:pt>
                <c:pt idx="6">
                  <c:v>-0.24721600157901436</c:v>
                </c:pt>
                <c:pt idx="7">
                  <c:v>-0.26238626465835424</c:v>
                </c:pt>
                <c:pt idx="8">
                  <c:v>-0.27755652773769424</c:v>
                </c:pt>
                <c:pt idx="9">
                  <c:v>-0.29272679081703423</c:v>
                </c:pt>
                <c:pt idx="10">
                  <c:v>-0.30789705389637434</c:v>
                </c:pt>
              </c:numCache>
            </c:numRef>
          </c:val>
          <c:smooth val="0"/>
          <c:extLst>
            <c:ext xmlns:c16="http://schemas.microsoft.com/office/drawing/2014/chart" uri="{C3380CC4-5D6E-409C-BE32-E72D297353CC}">
              <c16:uniqueId val="{00000003-9AA2-4E9A-9CA7-8649A7535D54}"/>
            </c:ext>
          </c:extLst>
        </c:ser>
        <c:dLbls>
          <c:showLegendKey val="0"/>
          <c:showVal val="0"/>
          <c:showCatName val="0"/>
          <c:showSerName val="0"/>
          <c:showPercent val="0"/>
          <c:showBubbleSize val="0"/>
        </c:dLbls>
        <c:smooth val="0"/>
        <c:axId val="510650384"/>
        <c:axId val="1"/>
      </c:lineChart>
      <c:catAx>
        <c:axId val="510650384"/>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max val="-5.000000000000001E-2"/>
          <c:min val="-0.35000000000000003"/>
        </c:scaling>
        <c:delete val="0"/>
        <c:axPos val="l"/>
        <c:majorGridlines/>
        <c:numFmt formatCode="0.00" sourceLinked="1"/>
        <c:majorTickMark val="out"/>
        <c:minorTickMark val="none"/>
        <c:tickLblPos val="nextTo"/>
        <c:crossAx val="51065038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'EU28 Amendments'!$L$6</c:f>
              <c:strCache>
                <c:ptCount val="1"/>
                <c:pt idx="0">
                  <c:v>EP amendment ESR TOTAL</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Amendments'!$L$7:$L$22</c:f>
              <c:numCache>
                <c:formatCode>0%</c:formatCode>
                <c:ptCount val="16"/>
                <c:pt idx="0">
                  <c:v>0</c:v>
                </c:pt>
                <c:pt idx="1">
                  <c:v>-3.8754682403990937E-2</c:v>
                </c:pt>
                <c:pt idx="2">
                  <c:v>-0.11507040720677708</c:v>
                </c:pt>
                <c:pt idx="3">
                  <c:v>-0.17000279776104665</c:v>
                </c:pt>
                <c:pt idx="4">
                  <c:v>-0.18083589794762611</c:v>
                </c:pt>
                <c:pt idx="5">
                  <c:v>-0.19166899813420557</c:v>
                </c:pt>
                <c:pt idx="6">
                  <c:v>-0.20250209832078492</c:v>
                </c:pt>
                <c:pt idx="7">
                  <c:v>-0.21333519850736438</c:v>
                </c:pt>
                <c:pt idx="8">
                  <c:v>-0.22416829869394383</c:v>
                </c:pt>
                <c:pt idx="9">
                  <c:v>-0.23500139888052329</c:v>
                </c:pt>
                <c:pt idx="10">
                  <c:v>-0.24583449906710275</c:v>
                </c:pt>
                <c:pt idx="11">
                  <c:v>-0.25666759925368221</c:v>
                </c:pt>
                <c:pt idx="12">
                  <c:v>-0.26750069944026167</c:v>
                </c:pt>
                <c:pt idx="13">
                  <c:v>-0.27833379962684113</c:v>
                </c:pt>
                <c:pt idx="14">
                  <c:v>-0.28916689981342059</c:v>
                </c:pt>
                <c:pt idx="15">
                  <c:v>-0.30000000000000004</c:v>
                </c:pt>
              </c:numCache>
            </c:numRef>
          </c:yVal>
          <c:smooth val="0"/>
          <c:extLst>
            <c:ext xmlns:c16="http://schemas.microsoft.com/office/drawing/2014/chart" uri="{C3380CC4-5D6E-409C-BE32-E72D297353CC}">
              <c16:uniqueId val="{00000000-D106-45FF-80BA-285225DC31DA}"/>
            </c:ext>
          </c:extLst>
        </c:ser>
        <c:ser>
          <c:idx val="1"/>
          <c:order val="1"/>
          <c:tx>
            <c:strRef>
              <c:f>'EU28 Amendments'!$N$6</c:f>
              <c:strCache>
                <c:ptCount val="1"/>
                <c:pt idx="0">
                  <c:v>EP amendment ESR CO2</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Amendments'!$N$7:$N$22</c:f>
              <c:numCache>
                <c:formatCode>0%</c:formatCode>
                <c:ptCount val="16"/>
                <c:pt idx="0">
                  <c:v>0</c:v>
                </c:pt>
                <c:pt idx="1">
                  <c:v>-3.2784339913506488E-2</c:v>
                </c:pt>
                <c:pt idx="2">
                  <c:v>-0.13050922706178447</c:v>
                </c:pt>
                <c:pt idx="3">
                  <c:v>-0.17335899423893986</c:v>
                </c:pt>
                <c:pt idx="4">
                  <c:v>-0.18507169811785507</c:v>
                </c:pt>
                <c:pt idx="5">
                  <c:v>-0.19678440199677039</c:v>
                </c:pt>
                <c:pt idx="6">
                  <c:v>-0.20849710587568571</c:v>
                </c:pt>
                <c:pt idx="7">
                  <c:v>-0.22020980975460092</c:v>
                </c:pt>
                <c:pt idx="8">
                  <c:v>-0.23192251363351624</c:v>
                </c:pt>
                <c:pt idx="9">
                  <c:v>-0.24363521751243145</c:v>
                </c:pt>
                <c:pt idx="10">
                  <c:v>-0.25534792139134677</c:v>
                </c:pt>
                <c:pt idx="11">
                  <c:v>-0.26605214911849606</c:v>
                </c:pt>
                <c:pt idx="12">
                  <c:v>-0.27675637684564536</c:v>
                </c:pt>
                <c:pt idx="13">
                  <c:v>-0.28746060457279454</c:v>
                </c:pt>
                <c:pt idx="14">
                  <c:v>-0.29816483229994384</c:v>
                </c:pt>
                <c:pt idx="15">
                  <c:v>-0.30886906002709302</c:v>
                </c:pt>
              </c:numCache>
            </c:numRef>
          </c:yVal>
          <c:smooth val="0"/>
          <c:extLst>
            <c:ext xmlns:c16="http://schemas.microsoft.com/office/drawing/2014/chart" uri="{C3380CC4-5D6E-409C-BE32-E72D297353CC}">
              <c16:uniqueId val="{00000001-D106-45FF-80BA-285225DC31DA}"/>
            </c:ext>
          </c:extLst>
        </c:ser>
        <c:dLbls>
          <c:showLegendKey val="0"/>
          <c:showVal val="0"/>
          <c:showCatName val="0"/>
          <c:showSerName val="0"/>
          <c:showPercent val="0"/>
          <c:showBubbleSize val="0"/>
        </c:dLbls>
        <c:axId val="507015888"/>
        <c:axId val="1"/>
      </c:scatterChart>
      <c:valAx>
        <c:axId val="507015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numFmt formatCode="0%" sourceLinked="1"/>
        <c:majorTickMark val="out"/>
        <c:minorTickMark val="none"/>
        <c:tickLblPos val="nextTo"/>
        <c:crossAx val="507015888"/>
        <c:crosses val="autoZero"/>
        <c:crossBetween val="midCat"/>
      </c:valAx>
    </c:plotArea>
    <c:legend>
      <c:legendPos val="r"/>
      <c:overlay val="0"/>
    </c:legend>
    <c:plotVisOnly val="1"/>
    <c:dispBlanksAs val="gap"/>
    <c:showDLblsOverMax val="0"/>
  </c:chart>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'EU28 Amendments'!$D$6</c:f>
              <c:strCache>
                <c:ptCount val="1"/>
                <c:pt idx="0">
                  <c:v>S1 Average 2016-2018</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Amendments'!$D$7:$D$22</c:f>
              <c:numCache>
                <c:formatCode>0</c:formatCode>
                <c:ptCount val="16"/>
                <c:pt idx="5">
                  <c:v>2492.3762499999998</c:v>
                </c:pt>
                <c:pt idx="6">
                  <c:v>2442.5287249999997</c:v>
                </c:pt>
                <c:pt idx="7">
                  <c:v>2392.6811999999995</c:v>
                </c:pt>
                <c:pt idx="8">
                  <c:v>2342.8336749999994</c:v>
                </c:pt>
                <c:pt idx="9">
                  <c:v>2292.9861499999993</c:v>
                </c:pt>
                <c:pt idx="10">
                  <c:v>2243.1386249999991</c:v>
                </c:pt>
                <c:pt idx="11">
                  <c:v>2193.291099999999</c:v>
                </c:pt>
                <c:pt idx="12">
                  <c:v>2143.4435749999989</c:v>
                </c:pt>
                <c:pt idx="13">
                  <c:v>2093.5960499999987</c:v>
                </c:pt>
                <c:pt idx="14">
                  <c:v>2043.7485249999988</c:v>
                </c:pt>
                <c:pt idx="15">
                  <c:v>1993.9009999999998</c:v>
                </c:pt>
              </c:numCache>
            </c:numRef>
          </c:yVal>
          <c:smooth val="0"/>
          <c:extLst>
            <c:ext xmlns:c16="http://schemas.microsoft.com/office/drawing/2014/chart" uri="{C3380CC4-5D6E-409C-BE32-E72D297353CC}">
              <c16:uniqueId val="{00000000-BBE9-4813-9351-A67813DCA30A}"/>
            </c:ext>
          </c:extLst>
        </c:ser>
        <c:ser>
          <c:idx val="1"/>
          <c:order val="1"/>
          <c:tx>
            <c:strRef>
              <c:f>'EU28 Amendments'!$E$6</c:f>
              <c:strCache>
                <c:ptCount val="1"/>
                <c:pt idx="0">
                  <c:v>EP amendment ESR TOTAL</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Amendments'!$E$7:$E$22</c:f>
              <c:numCache>
                <c:formatCode>0</c:formatCode>
                <c:ptCount val="16"/>
                <c:pt idx="0">
                  <c:v>2848.43</c:v>
                </c:pt>
                <c:pt idx="1">
                  <c:v>2738.04</c:v>
                </c:pt>
                <c:pt idx="2">
                  <c:v>2520.66</c:v>
                </c:pt>
                <c:pt idx="3">
                  <c:v>2364.1889307735019</c:v>
                </c:pt>
                <c:pt idx="4">
                  <c:v>2333.3316032090434</c:v>
                </c:pt>
                <c:pt idx="5">
                  <c:v>2302.4742756445848</c:v>
                </c:pt>
                <c:pt idx="6">
                  <c:v>2271.6169480801263</c:v>
                </c:pt>
                <c:pt idx="7">
                  <c:v>2240.7596205156678</c:v>
                </c:pt>
                <c:pt idx="8">
                  <c:v>2209.9022929512093</c:v>
                </c:pt>
                <c:pt idx="9">
                  <c:v>2179.0449653867508</c:v>
                </c:pt>
                <c:pt idx="10">
                  <c:v>2148.1876378222923</c:v>
                </c:pt>
                <c:pt idx="11">
                  <c:v>2117.3303102578338</c:v>
                </c:pt>
                <c:pt idx="12">
                  <c:v>2086.4729826933753</c:v>
                </c:pt>
                <c:pt idx="13">
                  <c:v>2055.6156551289168</c:v>
                </c:pt>
                <c:pt idx="14">
                  <c:v>2024.7583275644583</c:v>
                </c:pt>
                <c:pt idx="15">
                  <c:v>1993.9009999999998</c:v>
                </c:pt>
              </c:numCache>
            </c:numRef>
          </c:yVal>
          <c:smooth val="0"/>
          <c:extLst>
            <c:ext xmlns:c16="http://schemas.microsoft.com/office/drawing/2014/chart" uri="{C3380CC4-5D6E-409C-BE32-E72D297353CC}">
              <c16:uniqueId val="{00000001-BBE9-4813-9351-A67813DCA30A}"/>
            </c:ext>
          </c:extLst>
        </c:ser>
        <c:ser>
          <c:idx val="4"/>
          <c:order val="2"/>
          <c:tx>
            <c:strRef>
              <c:f>'EU28 Amendments'!$H$6</c:f>
              <c:strCache>
                <c:ptCount val="1"/>
                <c:pt idx="0">
                  <c:v>REF2016</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Amendments'!$H$7:$H$22</c:f>
              <c:numCache>
                <c:formatCode>0</c:formatCode>
                <c:ptCount val="16"/>
                <c:pt idx="0">
                  <c:v>2848.43</c:v>
                </c:pt>
                <c:pt idx="1">
                  <c:v>2738.04</c:v>
                </c:pt>
                <c:pt idx="2">
                  <c:v>2520.66</c:v>
                </c:pt>
                <c:pt idx="3">
                  <c:v>2426.7773584641009</c:v>
                </c:pt>
                <c:pt idx="4">
                  <c:v>2395.4831446188014</c:v>
                </c:pt>
                <c:pt idx="5">
                  <c:v>2364.1889307735019</c:v>
                </c:pt>
                <c:pt idx="6">
                  <c:v>2344.8887529260869</c:v>
                </c:pt>
                <c:pt idx="7">
                  <c:v>2325.588575078672</c:v>
                </c:pt>
                <c:pt idx="8">
                  <c:v>2306.288397231257</c:v>
                </c:pt>
                <c:pt idx="9">
                  <c:v>2286.9882193838421</c:v>
                </c:pt>
                <c:pt idx="10">
                  <c:v>2267.6880415364267</c:v>
                </c:pt>
                <c:pt idx="11">
                  <c:v>2244.2531468367542</c:v>
                </c:pt>
                <c:pt idx="12">
                  <c:v>2220.8182521370818</c:v>
                </c:pt>
                <c:pt idx="13">
                  <c:v>2197.3833574374094</c:v>
                </c:pt>
                <c:pt idx="14">
                  <c:v>2173.9484627377369</c:v>
                </c:pt>
                <c:pt idx="15">
                  <c:v>2150.5135680380645</c:v>
                </c:pt>
              </c:numCache>
            </c:numRef>
          </c:yVal>
          <c:smooth val="0"/>
          <c:extLst>
            <c:ext xmlns:c16="http://schemas.microsoft.com/office/drawing/2014/chart" uri="{C3380CC4-5D6E-409C-BE32-E72D297353CC}">
              <c16:uniqueId val="{00000002-BBE9-4813-9351-A67813DCA30A}"/>
            </c:ext>
          </c:extLst>
        </c:ser>
        <c:ser>
          <c:idx val="5"/>
          <c:order val="3"/>
          <c:tx>
            <c:strRef>
              <c:f>'EU28 Amendments'!$I$6</c:f>
              <c:strCache>
                <c:ptCount val="1"/>
                <c:pt idx="0">
                  <c:v>EUCO30</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Amendments'!$I$7:$I$22</c:f>
              <c:numCache>
                <c:formatCode>0</c:formatCode>
                <c:ptCount val="16"/>
                <c:pt idx="0">
                  <c:v>2848.43</c:v>
                </c:pt>
                <c:pt idx="1">
                  <c:v>2738.04</c:v>
                </c:pt>
                <c:pt idx="2">
                  <c:v>2520.66</c:v>
                </c:pt>
                <c:pt idx="3">
                  <c:v>2436.6317964760478</c:v>
                </c:pt>
                <c:pt idx="4">
                  <c:v>2408.6223953013973</c:v>
                </c:pt>
                <c:pt idx="5">
                  <c:v>2380.6129941267463</c:v>
                </c:pt>
                <c:pt idx="6">
                  <c:v>2341.9831867184716</c:v>
                </c:pt>
                <c:pt idx="7">
                  <c:v>2303.3533793101969</c:v>
                </c:pt>
                <c:pt idx="8">
                  <c:v>2264.7235719019222</c:v>
                </c:pt>
                <c:pt idx="9">
                  <c:v>2226.0937644936475</c:v>
                </c:pt>
                <c:pt idx="10">
                  <c:v>2187.4639570853724</c:v>
                </c:pt>
                <c:pt idx="11">
                  <c:v>2144.2525246222881</c:v>
                </c:pt>
                <c:pt idx="12">
                  <c:v>2101.0410921592038</c:v>
                </c:pt>
                <c:pt idx="13">
                  <c:v>2057.8296596961195</c:v>
                </c:pt>
                <c:pt idx="14">
                  <c:v>2014.6182272330352</c:v>
                </c:pt>
                <c:pt idx="15">
                  <c:v>1971.4067947699505</c:v>
                </c:pt>
              </c:numCache>
            </c:numRef>
          </c:yVal>
          <c:smooth val="0"/>
          <c:extLst>
            <c:ext xmlns:c16="http://schemas.microsoft.com/office/drawing/2014/chart" uri="{C3380CC4-5D6E-409C-BE32-E72D297353CC}">
              <c16:uniqueId val="{00000003-BBE9-4813-9351-A67813DCA30A}"/>
            </c:ext>
          </c:extLst>
        </c:ser>
        <c:dLbls>
          <c:showLegendKey val="0"/>
          <c:showVal val="0"/>
          <c:showCatName val="0"/>
          <c:showSerName val="0"/>
          <c:showPercent val="0"/>
          <c:showBubbleSize val="0"/>
        </c:dLbls>
        <c:axId val="88354712"/>
        <c:axId val="1"/>
      </c:scatterChart>
      <c:valAx>
        <c:axId val="88354712"/>
        <c:scaling>
          <c:orientation val="minMax"/>
          <c:max val="2030"/>
          <c:min val="2005"/>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500"/>
        </c:scaling>
        <c:delete val="0"/>
        <c:axPos val="l"/>
        <c:majorGridlines/>
        <c:numFmt formatCode="0" sourceLinked="1"/>
        <c:majorTickMark val="out"/>
        <c:minorTickMark val="none"/>
        <c:tickLblPos val="nextTo"/>
        <c:crossAx val="88354712"/>
        <c:crosses val="autoZero"/>
        <c:crossBetween val="midCat"/>
      </c:valAx>
    </c:plotArea>
    <c:legend>
      <c:legendPos val="r"/>
      <c:overlay val="0"/>
    </c:legend>
    <c:plotVisOnly val="1"/>
    <c:dispBlanksAs val="gap"/>
    <c:showDLblsOverMax val="0"/>
  </c:chart>
  <c:txPr>
    <a:bodyPr/>
    <a:lstStyle/>
    <a:p>
      <a:pPr>
        <a:defRPr sz="12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[Scen_CO2target_NONETS_2030.xlsx]Pivot EU28!PivotTable11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EU28'!$C$4:$C$5</c:f>
              <c:strCache>
                <c:ptCount val="1"/>
                <c:pt idx="0">
                  <c:v>CH4</c:v>
                </c:pt>
              </c:strCache>
            </c:strRef>
          </c:tx>
          <c:invertIfNegative val="0"/>
          <c:cat>
            <c:multiLvlStrRef>
              <c:f>'Pivot EU28'!$A$6:$B$14</c:f>
              <c:multiLvlStrCache>
                <c:ptCount val="6"/>
                <c:lvl>
                  <c:pt idx="0">
                    <c:v>2005</c:v>
                  </c:pt>
                  <c:pt idx="1">
                    <c:v>2010</c:v>
                  </c:pt>
                  <c:pt idx="2">
                    <c:v>2015</c:v>
                  </c:pt>
                  <c:pt idx="3">
                    <c:v>2005</c:v>
                  </c:pt>
                  <c:pt idx="4">
                    <c:v>2010</c:v>
                  </c:pt>
                  <c:pt idx="5">
                    <c:v>2015</c:v>
                  </c:pt>
                </c:lvl>
                <c:lvl>
                  <c:pt idx="0">
                    <c:v>3 - Agriculture</c:v>
                  </c:pt>
                  <c:pt idx="3">
                    <c:v>5 - Waste management</c:v>
                  </c:pt>
                </c:lvl>
              </c:multiLvlStrCache>
            </c:multiLvlStrRef>
          </c:cat>
          <c:val>
            <c:numRef>
              <c:f>'Pivot EU28'!$C$6:$C$14</c:f>
              <c:numCache>
                <c:formatCode>General</c:formatCode>
                <c:ptCount val="6"/>
                <c:pt idx="0">
                  <c:v>246.49181199999998</c:v>
                </c:pt>
                <c:pt idx="1">
                  <c:v>238.57143925</c:v>
                </c:pt>
                <c:pt idx="2">
                  <c:v>241.68252699999996</c:v>
                </c:pt>
                <c:pt idx="3">
                  <c:v>189.14857999999998</c:v>
                </c:pt>
                <c:pt idx="4">
                  <c:v>155.38360274999999</c:v>
                </c:pt>
                <c:pt idx="5">
                  <c:v>125.293531</c:v>
                </c:pt>
              </c:numCache>
            </c:numRef>
          </c:val>
          <c:extLst>
            <c:ext xmlns:c16="http://schemas.microsoft.com/office/drawing/2014/chart" uri="{C3380CC4-5D6E-409C-BE32-E72D297353CC}">
              <c16:uniqueId val="{00000000-9A86-4A29-BD7B-568EDD89E6F4}"/>
            </c:ext>
          </c:extLst>
        </c:ser>
        <c:ser>
          <c:idx val="1"/>
          <c:order val="1"/>
          <c:tx>
            <c:strRef>
              <c:f>'Pivot EU28'!$D$4:$D$5</c:f>
              <c:strCache>
                <c:ptCount val="1"/>
                <c:pt idx="0">
                  <c:v>N2O</c:v>
                </c:pt>
              </c:strCache>
            </c:strRef>
          </c:tx>
          <c:invertIfNegative val="0"/>
          <c:cat>
            <c:multiLvlStrRef>
              <c:f>'Pivot EU28'!$A$6:$B$14</c:f>
              <c:multiLvlStrCache>
                <c:ptCount val="6"/>
                <c:lvl>
                  <c:pt idx="0">
                    <c:v>2005</c:v>
                  </c:pt>
                  <c:pt idx="1">
                    <c:v>2010</c:v>
                  </c:pt>
                  <c:pt idx="2">
                    <c:v>2015</c:v>
                  </c:pt>
                  <c:pt idx="3">
                    <c:v>2005</c:v>
                  </c:pt>
                  <c:pt idx="4">
                    <c:v>2010</c:v>
                  </c:pt>
                  <c:pt idx="5">
                    <c:v>2015</c:v>
                  </c:pt>
                </c:lvl>
                <c:lvl>
                  <c:pt idx="0">
                    <c:v>3 - Agriculture</c:v>
                  </c:pt>
                  <c:pt idx="3">
                    <c:v>5 - Waste management</c:v>
                  </c:pt>
                </c:lvl>
              </c:multiLvlStrCache>
            </c:multiLvlStrRef>
          </c:cat>
          <c:val>
            <c:numRef>
              <c:f>'Pivot EU28'!$D$6:$D$14</c:f>
              <c:numCache>
                <c:formatCode>General</c:formatCode>
                <c:ptCount val="6"/>
                <c:pt idx="0">
                  <c:v>183.99136263999998</c:v>
                </c:pt>
                <c:pt idx="1">
                  <c:v>177.92559051999999</c:v>
                </c:pt>
                <c:pt idx="2">
                  <c:v>184.79041984</c:v>
                </c:pt>
                <c:pt idx="3">
                  <c:v>10.031359440000001</c:v>
                </c:pt>
                <c:pt idx="4">
                  <c:v>10.59901964</c:v>
                </c:pt>
                <c:pt idx="5">
                  <c:v>10.79829224</c:v>
                </c:pt>
              </c:numCache>
            </c:numRef>
          </c:val>
          <c:extLst>
            <c:ext xmlns:c16="http://schemas.microsoft.com/office/drawing/2014/chart" uri="{C3380CC4-5D6E-409C-BE32-E72D297353CC}">
              <c16:uniqueId val="{00000001-9A86-4A29-BD7B-568EDD89E6F4}"/>
            </c:ext>
          </c:extLst>
        </c:ser>
        <c:dLbls>
          <c:showLegendKey val="0"/>
          <c:showVal val="0"/>
          <c:showCatName val="0"/>
          <c:showSerName val="0"/>
          <c:showPercent val="0"/>
          <c:showBubbleSize val="0"/>
        </c:dLbls>
        <c:gapWidth val="15"/>
        <c:overlap val="100"/>
        <c:axId val="505591448"/>
        <c:axId val="1"/>
      </c:barChart>
      <c:catAx>
        <c:axId val="505591448"/>
        <c:scaling>
          <c:orientation val="minMax"/>
        </c:scaling>
        <c:delete val="0"/>
        <c:axPos val="b"/>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505591448"/>
        <c:crosses val="autoZero"/>
        <c:crossBetween val="between"/>
      </c:valAx>
    </c:plotArea>
    <c:legend>
      <c:legendPos val="r"/>
      <c:overlay val="0"/>
    </c:legend>
    <c:plotVisOnly val="1"/>
    <c:dispBlanksAs val="gap"/>
    <c:showDLblsOverMax val="0"/>
  </c:chart>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[Scen_CO2target_NONETS_2030.xlsx]Non CO2 total Pivot!PivotTable12</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'Non CO2 total Pivot'!$B$3:$B$4</c:f>
              <c:strCache>
                <c:ptCount val="1"/>
                <c:pt idx="0">
                  <c:v>CH4</c:v>
                </c:pt>
              </c:strCache>
            </c:strRef>
          </c:tx>
          <c:invertIfNegative val="0"/>
          <c:cat>
            <c:strRef>
              <c:f>'Non CO2 total Pivot'!$A$5:$A$8</c:f>
              <c:strCache>
                <c:ptCount val="3"/>
                <c:pt idx="0">
                  <c:v>2005</c:v>
                </c:pt>
                <c:pt idx="1">
                  <c:v>2010</c:v>
                </c:pt>
                <c:pt idx="2">
                  <c:v>2015</c:v>
                </c:pt>
              </c:strCache>
            </c:strRef>
          </c:cat>
          <c:val>
            <c:numRef>
              <c:f>'Non CO2 total Pivot'!$B$5:$B$8</c:f>
              <c:numCache>
                <c:formatCode>0</c:formatCode>
                <c:ptCount val="3"/>
                <c:pt idx="0">
                  <c:v>552.64691075000007</c:v>
                </c:pt>
                <c:pt idx="1">
                  <c:v>497.58590299999992</c:v>
                </c:pt>
                <c:pt idx="2">
                  <c:v>461.05856125000003</c:v>
                </c:pt>
              </c:numCache>
            </c:numRef>
          </c:val>
          <c:extLst>
            <c:ext xmlns:c16="http://schemas.microsoft.com/office/drawing/2014/chart" uri="{C3380CC4-5D6E-409C-BE32-E72D297353CC}">
              <c16:uniqueId val="{00000000-FB03-4E78-8E2A-3925D756DE32}"/>
            </c:ext>
          </c:extLst>
        </c:ser>
        <c:ser>
          <c:idx val="1"/>
          <c:order val="1"/>
          <c:tx>
            <c:strRef>
              <c:f>'Non CO2 total Pivot'!$C$3:$C$4</c:f>
              <c:strCache>
                <c:ptCount val="1"/>
                <c:pt idx="0">
                  <c:v>HFCs - (CO2 equivalent)</c:v>
                </c:pt>
              </c:strCache>
            </c:strRef>
          </c:tx>
          <c:invertIfNegative val="0"/>
          <c:cat>
            <c:strRef>
              <c:f>'Non CO2 total Pivot'!$A$5:$A$8</c:f>
              <c:strCache>
                <c:ptCount val="3"/>
                <c:pt idx="0">
                  <c:v>2005</c:v>
                </c:pt>
                <c:pt idx="1">
                  <c:v>2010</c:v>
                </c:pt>
                <c:pt idx="2">
                  <c:v>2015</c:v>
                </c:pt>
              </c:strCache>
            </c:strRef>
          </c:cat>
          <c:val>
            <c:numRef>
              <c:f>'Non CO2 total Pivot'!$C$5:$C$8</c:f>
              <c:numCache>
                <c:formatCode>0</c:formatCode>
                <c:ptCount val="3"/>
                <c:pt idx="0">
                  <c:v>73.273403000000002</c:v>
                </c:pt>
                <c:pt idx="1">
                  <c:v>102.22261338999999</c:v>
                </c:pt>
                <c:pt idx="2">
                  <c:v>107.61060714999999</c:v>
                </c:pt>
              </c:numCache>
            </c:numRef>
          </c:val>
          <c:extLst>
            <c:ext xmlns:c16="http://schemas.microsoft.com/office/drawing/2014/chart" uri="{C3380CC4-5D6E-409C-BE32-E72D297353CC}">
              <c16:uniqueId val="{00000001-FB03-4E78-8E2A-3925D756DE32}"/>
            </c:ext>
          </c:extLst>
        </c:ser>
        <c:ser>
          <c:idx val="2"/>
          <c:order val="2"/>
          <c:tx>
            <c:strRef>
              <c:f>'Non CO2 total Pivot'!$D$3:$D$4</c:f>
              <c:strCache>
                <c:ptCount val="1"/>
                <c:pt idx="0">
                  <c:v>N2O</c:v>
                </c:pt>
              </c:strCache>
            </c:strRef>
          </c:tx>
          <c:invertIfNegative val="0"/>
          <c:cat>
            <c:strRef>
              <c:f>'Non CO2 total Pivot'!$A$5:$A$8</c:f>
              <c:strCache>
                <c:ptCount val="3"/>
                <c:pt idx="0">
                  <c:v>2005</c:v>
                </c:pt>
                <c:pt idx="1">
                  <c:v>2010</c:v>
                </c:pt>
                <c:pt idx="2">
                  <c:v>2015</c:v>
                </c:pt>
              </c:strCache>
            </c:strRef>
          </c:cat>
          <c:val>
            <c:numRef>
              <c:f>'Non CO2 total Pivot'!$D$5:$D$8</c:f>
              <c:numCache>
                <c:formatCode>0</c:formatCode>
                <c:ptCount val="3"/>
                <c:pt idx="0">
                  <c:v>298.04084388000001</c:v>
                </c:pt>
                <c:pt idx="1">
                  <c:v>252.57928104000004</c:v>
                </c:pt>
                <c:pt idx="2">
                  <c:v>249.71669602</c:v>
                </c:pt>
              </c:numCache>
            </c:numRef>
          </c:val>
          <c:extLst>
            <c:ext xmlns:c16="http://schemas.microsoft.com/office/drawing/2014/chart" uri="{C3380CC4-5D6E-409C-BE32-E72D297353CC}">
              <c16:uniqueId val="{00000002-FB03-4E78-8E2A-3925D756DE32}"/>
            </c:ext>
          </c:extLst>
        </c:ser>
        <c:ser>
          <c:idx val="3"/>
          <c:order val="3"/>
          <c:tx>
            <c:strRef>
              <c:f>'Non CO2 total Pivot'!$E$3:$E$4</c:f>
              <c:strCache>
                <c:ptCount val="1"/>
                <c:pt idx="0">
                  <c:v>NF3 - (CO2 equivalent)</c:v>
                </c:pt>
              </c:strCache>
            </c:strRef>
          </c:tx>
          <c:invertIfNegative val="0"/>
          <c:cat>
            <c:strRef>
              <c:f>'Non CO2 total Pivot'!$A$5:$A$8</c:f>
              <c:strCache>
                <c:ptCount val="3"/>
                <c:pt idx="0">
                  <c:v>2005</c:v>
                </c:pt>
                <c:pt idx="1">
                  <c:v>2010</c:v>
                </c:pt>
                <c:pt idx="2">
                  <c:v>2015</c:v>
                </c:pt>
              </c:strCache>
            </c:strRef>
          </c:cat>
          <c:val>
            <c:numRef>
              <c:f>'Non CO2 total Pivot'!$E$5:$E$8</c:f>
              <c:numCache>
                <c:formatCode>0</c:formatCode>
                <c:ptCount val="3"/>
                <c:pt idx="0">
                  <c:v>0.15596545000000001</c:v>
                </c:pt>
                <c:pt idx="1">
                  <c:v>0.11944619000000001</c:v>
                </c:pt>
                <c:pt idx="2">
                  <c:v>6.9184510000000005E-2</c:v>
                </c:pt>
              </c:numCache>
            </c:numRef>
          </c:val>
          <c:extLst>
            <c:ext xmlns:c16="http://schemas.microsoft.com/office/drawing/2014/chart" uri="{C3380CC4-5D6E-409C-BE32-E72D297353CC}">
              <c16:uniqueId val="{00000003-FB03-4E78-8E2A-3925D756DE32}"/>
            </c:ext>
          </c:extLst>
        </c:ser>
        <c:ser>
          <c:idx val="4"/>
          <c:order val="4"/>
          <c:tx>
            <c:strRef>
              <c:f>'Non CO2 total Pivot'!$F$3:$F$4</c:f>
              <c:strCache>
                <c:ptCount val="1"/>
                <c:pt idx="0">
                  <c:v>PFCs - (CO2 equivalent)</c:v>
                </c:pt>
              </c:strCache>
            </c:strRef>
          </c:tx>
          <c:invertIfNegative val="0"/>
          <c:cat>
            <c:strRef>
              <c:f>'Non CO2 total Pivot'!$A$5:$A$8</c:f>
              <c:strCache>
                <c:ptCount val="3"/>
                <c:pt idx="0">
                  <c:v>2005</c:v>
                </c:pt>
                <c:pt idx="1">
                  <c:v>2010</c:v>
                </c:pt>
                <c:pt idx="2">
                  <c:v>2015</c:v>
                </c:pt>
              </c:strCache>
            </c:strRef>
          </c:cat>
          <c:val>
            <c:numRef>
              <c:f>'Non CO2 total Pivot'!$F$5:$F$8</c:f>
              <c:numCache>
                <c:formatCode>0</c:formatCode>
                <c:ptCount val="3"/>
                <c:pt idx="0">
                  <c:v>7.3529506199999997</c:v>
                </c:pt>
                <c:pt idx="1">
                  <c:v>3.8780834500000001</c:v>
                </c:pt>
                <c:pt idx="2">
                  <c:v>3.57598079</c:v>
                </c:pt>
              </c:numCache>
            </c:numRef>
          </c:val>
          <c:extLst>
            <c:ext xmlns:c16="http://schemas.microsoft.com/office/drawing/2014/chart" uri="{C3380CC4-5D6E-409C-BE32-E72D297353CC}">
              <c16:uniqueId val="{00000004-FB03-4E78-8E2A-3925D756DE32}"/>
            </c:ext>
          </c:extLst>
        </c:ser>
        <c:ser>
          <c:idx val="5"/>
          <c:order val="5"/>
          <c:tx>
            <c:strRef>
              <c:f>'Non CO2 total Pivot'!$G$3:$G$4</c:f>
              <c:strCache>
                <c:ptCount val="1"/>
                <c:pt idx="0">
                  <c:v>SF6 - (CO2 equivalent)</c:v>
                </c:pt>
              </c:strCache>
            </c:strRef>
          </c:tx>
          <c:invertIfNegative val="0"/>
          <c:cat>
            <c:strRef>
              <c:f>'Non CO2 total Pivot'!$A$5:$A$8</c:f>
              <c:strCache>
                <c:ptCount val="3"/>
                <c:pt idx="0">
                  <c:v>2005</c:v>
                </c:pt>
                <c:pt idx="1">
                  <c:v>2010</c:v>
                </c:pt>
                <c:pt idx="2">
                  <c:v>2015</c:v>
                </c:pt>
              </c:strCache>
            </c:strRef>
          </c:cat>
          <c:val>
            <c:numRef>
              <c:f>'Non CO2 total Pivot'!$G$5:$G$8</c:f>
              <c:numCache>
                <c:formatCode>0</c:formatCode>
                <c:ptCount val="3"/>
                <c:pt idx="0">
                  <c:v>7.9197403499999997</c:v>
                </c:pt>
                <c:pt idx="1">
                  <c:v>6.43149032</c:v>
                </c:pt>
                <c:pt idx="2">
                  <c:v>6.41331966</c:v>
                </c:pt>
              </c:numCache>
            </c:numRef>
          </c:val>
          <c:extLst>
            <c:ext xmlns:c16="http://schemas.microsoft.com/office/drawing/2014/chart" uri="{C3380CC4-5D6E-409C-BE32-E72D297353CC}">
              <c16:uniqueId val="{00000005-FB03-4E78-8E2A-3925D756DE32}"/>
            </c:ext>
          </c:extLst>
        </c:ser>
        <c:ser>
          <c:idx val="6"/>
          <c:order val="6"/>
          <c:tx>
            <c:strRef>
              <c:f>'Non CO2 total Pivot'!$H$3:$H$4</c:f>
              <c:strCache>
                <c:ptCount val="1"/>
                <c:pt idx="0">
                  <c:v>Unspecified mix of HFCs and PFCs - (CO2 equivalent)</c:v>
                </c:pt>
              </c:strCache>
            </c:strRef>
          </c:tx>
          <c:invertIfNegative val="0"/>
          <c:cat>
            <c:strRef>
              <c:f>'Non CO2 total Pivot'!$A$5:$A$8</c:f>
              <c:strCache>
                <c:ptCount val="3"/>
                <c:pt idx="0">
                  <c:v>2005</c:v>
                </c:pt>
                <c:pt idx="1">
                  <c:v>2010</c:v>
                </c:pt>
                <c:pt idx="2">
                  <c:v>2015</c:v>
                </c:pt>
              </c:strCache>
            </c:strRef>
          </c:cat>
          <c:val>
            <c:numRef>
              <c:f>'Non CO2 total Pivot'!$H$5:$H$8</c:f>
              <c:numCache>
                <c:formatCode>0</c:formatCode>
                <c:ptCount val="3"/>
                <c:pt idx="0">
                  <c:v>0.95245816000000005</c:v>
                </c:pt>
                <c:pt idx="1">
                  <c:v>0.48929306</c:v>
                </c:pt>
                <c:pt idx="2">
                  <c:v>0.24207994999999999</c:v>
                </c:pt>
              </c:numCache>
            </c:numRef>
          </c:val>
          <c:extLst>
            <c:ext xmlns:c16="http://schemas.microsoft.com/office/drawing/2014/chart" uri="{C3380CC4-5D6E-409C-BE32-E72D297353CC}">
              <c16:uniqueId val="{00000006-FB03-4E78-8E2A-3925D756DE32}"/>
            </c:ext>
          </c:extLst>
        </c:ser>
        <c:dLbls>
          <c:showLegendKey val="0"/>
          <c:showVal val="0"/>
          <c:showCatName val="0"/>
          <c:showSerName val="0"/>
          <c:showPercent val="0"/>
          <c:showBubbleSize val="0"/>
        </c:dLbls>
        <c:gapWidth val="150"/>
        <c:overlap val="100"/>
        <c:axId val="352774432"/>
        <c:axId val="1"/>
      </c:barChart>
      <c:catAx>
        <c:axId val="352774432"/>
        <c:scaling>
          <c:orientation val="minMax"/>
        </c:scaling>
        <c:delete val="0"/>
        <c:axPos val="b"/>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l"/>
        <c:majorGridlines/>
        <c:numFmt formatCode="0" sourceLinked="1"/>
        <c:majorTickMark val="out"/>
        <c:minorTickMark val="none"/>
        <c:tickLblPos val="nextTo"/>
        <c:crossAx val="352774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476250</xdr:colOff>
      <xdr:row>11</xdr:row>
      <xdr:rowOff>47625</xdr:rowOff>
    </xdr:from>
    <xdr:to>
      <xdr:col>23</xdr:col>
      <xdr:colOff>504825</xdr:colOff>
      <xdr:row>33</xdr:row>
      <xdr:rowOff>95250</xdr:rowOff>
    </xdr:to>
    <xdr:sp macro="" textlink="">
      <xdr:nvSpPr>
        <xdr:cNvPr id="2" name="TextBox 1">
          <a:extLst>
            <a:ext uri="{FF2B5EF4-FFF2-40B4-BE49-F238E27FC236}">
              <a16:creationId xmlns:a16="http://schemas.microsoft.com/office/drawing/2014/main" id="{14EC8BD3-436F-4C68-9E5F-8A0872AE66D8}"/>
            </a:ext>
          </a:extLst>
        </xdr:cNvPr>
        <xdr:cNvSpPr txBox="1"/>
      </xdr:nvSpPr>
      <xdr:spPr>
        <a:xfrm>
          <a:off x="9010650" y="2143125"/>
          <a:ext cx="5514975" cy="423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indicator calculation is based on the emissions covered under the Effort Sharing Decision &lt;a href="http://eur-lex.europa.eu/LexUriServ/LexUriServ.do?uri=OJ:L:2009:140:0136:0148:EN:PDF"&gt;(406/2009/EC)&lt;/a&gt;. </a:t>
          </a:r>
        </a:p>
        <a:p>
          <a:endParaRPr lang="en-US" sz="1600"/>
        </a:p>
        <a:p>
          <a:r>
            <a:rPr lang="en-US" sz="1600"/>
            <a:t>The Effort Sharing Decision sets national annual binding targets for emissions not covered under the EU emission trading scheme (ETS). The ESD emissions are calculated by deducting ETS verified emissions, CO2 emissions from domestic aviation and NF3 emissions from national total emissions. Total emissions are national totals reported under the </a:t>
          </a:r>
          <a:r>
            <a:rPr lang="en-US" sz="1600" b="1"/>
            <a:t>UNFCCC (excluding LULUCF, international aviation and international maritime transport). </a:t>
          </a:r>
          <a:r>
            <a:rPr lang="en-US" sz="1600"/>
            <a:t>For the period 2005-2012, additional emission estimates are deducted in order to reflect the current scope of the EU ETS, following the European Environment Agency methodology for calculating consistent time series.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10</xdr:col>
      <xdr:colOff>247650</xdr:colOff>
      <xdr:row>41</xdr:row>
      <xdr:rowOff>152400</xdr:rowOff>
    </xdr:to>
    <xdr:pic>
      <xdr:nvPicPr>
        <xdr:cNvPr id="1065" name="Picture 1" descr="C:\Users\nijswou\AppData\Local\Temp\1\ScreenClip.png">
          <a:extLst>
            <a:ext uri="{FF2B5EF4-FFF2-40B4-BE49-F238E27FC236}">
              <a16:creationId xmlns:a16="http://schemas.microsoft.com/office/drawing/2014/main" id="{6EB3FE54-4A37-4F81-A36F-B61D4717A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95800"/>
          <a:ext cx="5734050" cy="3771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43</xdr:row>
      <xdr:rowOff>0</xdr:rowOff>
    </xdr:from>
    <xdr:to>
      <xdr:col>10</xdr:col>
      <xdr:colOff>247650</xdr:colOff>
      <xdr:row>63</xdr:row>
      <xdr:rowOff>76200</xdr:rowOff>
    </xdr:to>
    <xdr:pic>
      <xdr:nvPicPr>
        <xdr:cNvPr id="1066" name="Picture 2" descr="C:\Users\nijswou\AppData\Local\Temp\1\ScreenClip.png">
          <a:extLst>
            <a:ext uri="{FF2B5EF4-FFF2-40B4-BE49-F238E27FC236}">
              <a16:creationId xmlns:a16="http://schemas.microsoft.com/office/drawing/2014/main" id="{943B2025-35C3-450A-8E05-7F6C2B38CA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496300"/>
          <a:ext cx="5734050" cy="38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13</xdr:row>
      <xdr:rowOff>190499</xdr:rowOff>
    </xdr:from>
    <xdr:to>
      <xdr:col>23</xdr:col>
      <xdr:colOff>331304</xdr:colOff>
      <xdr:row>33</xdr:row>
      <xdr:rowOff>99391</xdr:rowOff>
    </xdr:to>
    <xdr:sp macro="" textlink="">
      <xdr:nvSpPr>
        <xdr:cNvPr id="5" name="TextBox 4">
          <a:extLst>
            <a:ext uri="{FF2B5EF4-FFF2-40B4-BE49-F238E27FC236}">
              <a16:creationId xmlns:a16="http://schemas.microsoft.com/office/drawing/2014/main" id="{EC736687-4A01-431F-BAE5-6A4487F5B5DB}"/>
            </a:ext>
          </a:extLst>
        </xdr:cNvPr>
        <xdr:cNvSpPr txBox="1"/>
      </xdr:nvSpPr>
      <xdr:spPr>
        <a:xfrm>
          <a:off x="7967870" y="2774673"/>
          <a:ext cx="6460434" cy="37188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Effort Sharing Decision coversthe greenhouse gas emissions from IPCC source categories of </a:t>
          </a:r>
          <a:r>
            <a:rPr lang="en-US" sz="1100" b="1"/>
            <a:t>energy, industrial processes and product use, agriculture and was</a:t>
          </a:r>
          <a:r>
            <a:rPr lang="en-US" sz="1100"/>
            <a:t>te as determined pursuant to Regulation (EU) No 525/2013, excluding emissions from ETS. </a:t>
          </a:r>
        </a:p>
        <a:p>
          <a:pPr>
            <a:lnSpc>
              <a:spcPts val="1200"/>
            </a:lnSpc>
          </a:pPr>
          <a:endParaRPr lang="en-US" sz="1100"/>
        </a:p>
        <a:p>
          <a:pPr>
            <a:lnSpc>
              <a:spcPts val="1200"/>
            </a:lnSpc>
          </a:pPr>
          <a:r>
            <a:rPr lang="en-US" sz="1100"/>
            <a:t>ESR</a:t>
          </a:r>
          <a:r>
            <a:rPr lang="en-US" sz="1100" baseline="0"/>
            <a:t> </a:t>
          </a:r>
          <a:r>
            <a:rPr lang="en-US" sz="1100"/>
            <a:t>covers the six greenhouse gases controlled by the Kyoto Protocol during its first commitment period (2008-2012): carbon dioxide (</a:t>
          </a:r>
          <a:r>
            <a:rPr lang="en-US" sz="1100" b="1"/>
            <a:t>CO2</a:t>
          </a:r>
          <a:r>
            <a:rPr lang="en-US" sz="1100"/>
            <a:t>), methane (</a:t>
          </a:r>
          <a:r>
            <a:rPr lang="en-US" sz="1100" b="1"/>
            <a:t>CH4</a:t>
          </a:r>
          <a:r>
            <a:rPr lang="en-US" sz="1100"/>
            <a:t>), nitrous oxide (</a:t>
          </a:r>
          <a:r>
            <a:rPr lang="en-US" sz="1100" b="1"/>
            <a:t>N2O</a:t>
          </a:r>
          <a:r>
            <a:rPr lang="en-US" sz="1100"/>
            <a:t>), hydrofluorocarbons (</a:t>
          </a:r>
          <a:r>
            <a:rPr lang="en-US" sz="1100" b="1"/>
            <a:t>HFCs</a:t>
          </a:r>
          <a:r>
            <a:rPr lang="en-US" sz="1100"/>
            <a:t>), perfluorocarbons (</a:t>
          </a:r>
          <a:r>
            <a:rPr lang="en-US" sz="1100" b="1"/>
            <a:t>PFCs</a:t>
          </a:r>
          <a:r>
            <a:rPr lang="en-US" sz="1100"/>
            <a:t>) and sulphur hexafluoride (</a:t>
          </a:r>
          <a:r>
            <a:rPr lang="en-US" sz="1100" b="1"/>
            <a:t>SF6</a:t>
          </a:r>
          <a:r>
            <a:rPr lang="en-US" sz="1100"/>
            <a:t>). From the 2015 submission onwards, nitrogen trifluoride (</a:t>
          </a:r>
          <a:r>
            <a:rPr lang="en-US" sz="1100" b="1"/>
            <a:t>NF3</a:t>
          </a:r>
          <a:r>
            <a:rPr lang="en-US" sz="1100"/>
            <a:t>) is also included.</a:t>
          </a:r>
        </a:p>
        <a:p>
          <a:r>
            <a:rPr lang="en-US" sz="1100"/>
            <a:t>While the Effort Sharing targets cover most sectors that fall outside the scope of the EU ETS, emissions from land use, land use change and forestry (LULUCF) and international shipping are not included. </a:t>
          </a:r>
        </a:p>
        <a:p>
          <a:pPr>
            <a:lnSpc>
              <a:spcPts val="1200"/>
            </a:lnSpc>
          </a:pPr>
          <a:r>
            <a:rPr lang="en-US" sz="1100"/>
            <a:t>(WN: domestic shipping was</a:t>
          </a:r>
          <a:r>
            <a:rPr lang="en-US" sz="1100" baseline="0"/>
            <a:t> introduced with amendment European Parliament on 20/06/2017.)</a:t>
          </a:r>
        </a:p>
        <a:p>
          <a:pPr>
            <a:lnSpc>
              <a:spcPts val="1200"/>
            </a:lnSpc>
          </a:pPr>
          <a:endParaRPr lang="en-US" sz="1100" baseline="0"/>
        </a:p>
        <a:p>
          <a:pPr>
            <a:lnSpc>
              <a:spcPts val="1200"/>
            </a:lnSpc>
          </a:pPr>
          <a:endParaRPr lang="en-US" sz="1100"/>
        </a:p>
        <a:p>
          <a:endParaRPr lang="en-US" sz="1100"/>
        </a:p>
        <a:p>
          <a:pPr>
            <a:lnSpc>
              <a:spcPts val="1200"/>
            </a:lnSpc>
          </a:pPr>
          <a:r>
            <a:rPr lang="en-US" sz="1100"/>
            <a:t>ETS covers the following sectors and gases with the focus on emissions that can be measured, reported and verified with a high level of accuracy:</a:t>
          </a:r>
        </a:p>
        <a:p>
          <a:r>
            <a:rPr lang="en-US" sz="1100"/>
            <a:t>carbon dioxide (</a:t>
          </a:r>
          <a:r>
            <a:rPr lang="en-US" sz="1100" b="1"/>
            <a:t>CO2</a:t>
          </a:r>
          <a:r>
            <a:rPr lang="en-US" sz="1100"/>
            <a:t>) from</a:t>
          </a:r>
        </a:p>
        <a:p>
          <a:pPr>
            <a:lnSpc>
              <a:spcPts val="1200"/>
            </a:lnSpc>
          </a:pPr>
          <a:r>
            <a:rPr lang="en-US" sz="1100"/>
            <a:t>power and heat generation</a:t>
          </a:r>
        </a:p>
        <a:p>
          <a:pPr>
            <a:lnSpc>
              <a:spcPts val="1200"/>
            </a:lnSpc>
          </a:pPr>
          <a:r>
            <a:rPr lang="en-US" sz="1100"/>
            <a:t>energy-intensive industry sectors including oil refineries, steel works and production of iron, aluminium, metals, cement, lime, glass, ceramics, pulp, paper, cardboard, acids and bulk organic chemicals</a:t>
          </a:r>
        </a:p>
        <a:p>
          <a:r>
            <a:rPr lang="en-US" sz="1100"/>
            <a:t>commercial aviation</a:t>
          </a:r>
        </a:p>
        <a:p>
          <a:pPr>
            <a:lnSpc>
              <a:spcPts val="1200"/>
            </a:lnSpc>
          </a:pPr>
          <a:r>
            <a:rPr lang="en-US" sz="1100"/>
            <a:t>nitrous oxide (</a:t>
          </a:r>
          <a:r>
            <a:rPr lang="en-US" sz="1100" b="1"/>
            <a:t>N2O</a:t>
          </a:r>
          <a:r>
            <a:rPr lang="en-US" sz="1100"/>
            <a:t>) from production of nitric, adipic and glyoxylic acids and glyoxal</a:t>
          </a:r>
        </a:p>
        <a:p>
          <a:r>
            <a:rPr lang="en-US" sz="1100"/>
            <a:t>perfluorocarbons (</a:t>
          </a:r>
          <a:r>
            <a:rPr lang="en-US" sz="1100" b="1"/>
            <a:t>PFCs</a:t>
          </a:r>
          <a:r>
            <a:rPr lang="en-US" sz="1100"/>
            <a:t>) from aluminium production</a:t>
          </a:r>
        </a:p>
        <a:p>
          <a:pPr>
            <a:lnSpc>
              <a:spcPts val="1100"/>
            </a:lnSpc>
          </a:pP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400050</xdr:colOff>
      <xdr:row>3</xdr:row>
      <xdr:rowOff>28575</xdr:rowOff>
    </xdr:from>
    <xdr:to>
      <xdr:col>15</xdr:col>
      <xdr:colOff>95250</xdr:colOff>
      <xdr:row>17</xdr:row>
      <xdr:rowOff>104775</xdr:rowOff>
    </xdr:to>
    <xdr:graphicFrame macro="">
      <xdr:nvGraphicFramePr>
        <xdr:cNvPr id="35846" name="Chart 3">
          <a:extLst>
            <a:ext uri="{FF2B5EF4-FFF2-40B4-BE49-F238E27FC236}">
              <a16:creationId xmlns:a16="http://schemas.microsoft.com/office/drawing/2014/main" id="{9471D3DD-F7AE-484C-8E35-4B8D59F16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581025</xdr:colOff>
      <xdr:row>3</xdr:row>
      <xdr:rowOff>161925</xdr:rowOff>
    </xdr:from>
    <xdr:to>
      <xdr:col>22</xdr:col>
      <xdr:colOff>295275</xdr:colOff>
      <xdr:row>26</xdr:row>
      <xdr:rowOff>114300</xdr:rowOff>
    </xdr:to>
    <xdr:graphicFrame macro="">
      <xdr:nvGraphicFramePr>
        <xdr:cNvPr id="36890" name="Chart 1">
          <a:extLst>
            <a:ext uri="{FF2B5EF4-FFF2-40B4-BE49-F238E27FC236}">
              <a16:creationId xmlns:a16="http://schemas.microsoft.com/office/drawing/2014/main" id="{8A7C69FC-4E34-4D2E-988D-E7B44A190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704850</xdr:colOff>
      <xdr:row>53</xdr:row>
      <xdr:rowOff>133350</xdr:rowOff>
    </xdr:from>
    <xdr:to>
      <xdr:col>9</xdr:col>
      <xdr:colOff>28575</xdr:colOff>
      <xdr:row>73</xdr:row>
      <xdr:rowOff>95250</xdr:rowOff>
    </xdr:to>
    <xdr:pic>
      <xdr:nvPicPr>
        <xdr:cNvPr id="36891" name="Picture 2" descr="C:\Users\nijswou\AppData\Local\Temp\1\ScreenClip.png">
          <a:extLst>
            <a:ext uri="{FF2B5EF4-FFF2-40B4-BE49-F238E27FC236}">
              <a16:creationId xmlns:a16="http://schemas.microsoft.com/office/drawing/2014/main" id="{C0A23AE1-3447-4640-8FD3-6C27293FFC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4450" y="10277475"/>
          <a:ext cx="5715000" cy="3771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504825</xdr:colOff>
      <xdr:row>2</xdr:row>
      <xdr:rowOff>66675</xdr:rowOff>
    </xdr:from>
    <xdr:to>
      <xdr:col>24</xdr:col>
      <xdr:colOff>219075</xdr:colOff>
      <xdr:row>25</xdr:row>
      <xdr:rowOff>28575</xdr:rowOff>
    </xdr:to>
    <xdr:graphicFrame macro="">
      <xdr:nvGraphicFramePr>
        <xdr:cNvPr id="36892" name="Chart 4">
          <a:extLst>
            <a:ext uri="{FF2B5EF4-FFF2-40B4-BE49-F238E27FC236}">
              <a16:creationId xmlns:a16="http://schemas.microsoft.com/office/drawing/2014/main" id="{4EFA820E-004A-4111-A4E1-3BDCCF298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55</xdr:row>
      <xdr:rowOff>0</xdr:rowOff>
    </xdr:from>
    <xdr:to>
      <xdr:col>21</xdr:col>
      <xdr:colOff>219075</xdr:colOff>
      <xdr:row>71</xdr:row>
      <xdr:rowOff>114300</xdr:rowOff>
    </xdr:to>
    <xdr:pic>
      <xdr:nvPicPr>
        <xdr:cNvPr id="36893" name="Picture 5" descr="C:\Users\nijswou\AppData\Local\Temp\1\ScreenClip.png">
          <a:extLst>
            <a:ext uri="{FF2B5EF4-FFF2-40B4-BE49-F238E27FC236}">
              <a16:creationId xmlns:a16="http://schemas.microsoft.com/office/drawing/2014/main" id="{32F6FE97-6C66-4D74-BD09-09C2F0E9806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29675" y="10525125"/>
          <a:ext cx="570547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75</xdr:row>
      <xdr:rowOff>0</xdr:rowOff>
    </xdr:from>
    <xdr:to>
      <xdr:col>9</xdr:col>
      <xdr:colOff>247650</xdr:colOff>
      <xdr:row>89</xdr:row>
      <xdr:rowOff>38100</xdr:rowOff>
    </xdr:to>
    <xdr:pic>
      <xdr:nvPicPr>
        <xdr:cNvPr id="36894" name="Picture 6" descr="C:\Users\nijswou\AppData\Local\Temp\1\ScreenClip.png">
          <a:extLst>
            <a:ext uri="{FF2B5EF4-FFF2-40B4-BE49-F238E27FC236}">
              <a16:creationId xmlns:a16="http://schemas.microsoft.com/office/drawing/2014/main" id="{C43BD7D2-F21D-4E64-BB25-CEA59C8075D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3525" y="14335125"/>
          <a:ext cx="571500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704850</xdr:colOff>
      <xdr:row>58</xdr:row>
      <xdr:rowOff>133350</xdr:rowOff>
    </xdr:from>
    <xdr:to>
      <xdr:col>9</xdr:col>
      <xdr:colOff>28575</xdr:colOff>
      <xdr:row>78</xdr:row>
      <xdr:rowOff>95250</xdr:rowOff>
    </xdr:to>
    <xdr:pic>
      <xdr:nvPicPr>
        <xdr:cNvPr id="37914" name="Picture 2" descr="C:\Users\nijswou\AppData\Local\Temp\1\ScreenClip.png">
          <a:extLst>
            <a:ext uri="{FF2B5EF4-FFF2-40B4-BE49-F238E27FC236}">
              <a16:creationId xmlns:a16="http://schemas.microsoft.com/office/drawing/2014/main" id="{61F95E7D-9E6D-4F56-BFA1-08F5C9C3E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11229975"/>
          <a:ext cx="5715000" cy="3771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60</xdr:row>
      <xdr:rowOff>0</xdr:rowOff>
    </xdr:from>
    <xdr:to>
      <xdr:col>21</xdr:col>
      <xdr:colOff>219075</xdr:colOff>
      <xdr:row>76</xdr:row>
      <xdr:rowOff>114300</xdr:rowOff>
    </xdr:to>
    <xdr:pic>
      <xdr:nvPicPr>
        <xdr:cNvPr id="37915" name="Picture 4" descr="C:\Users\nijswou\AppData\Local\Temp\1\ScreenClip.png">
          <a:extLst>
            <a:ext uri="{FF2B5EF4-FFF2-40B4-BE49-F238E27FC236}">
              <a16:creationId xmlns:a16="http://schemas.microsoft.com/office/drawing/2014/main" id="{7F41BA22-A711-406F-ADF0-0B490E00F9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29675" y="11477625"/>
          <a:ext cx="570547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80</xdr:row>
      <xdr:rowOff>0</xdr:rowOff>
    </xdr:from>
    <xdr:to>
      <xdr:col>9</xdr:col>
      <xdr:colOff>247650</xdr:colOff>
      <xdr:row>94</xdr:row>
      <xdr:rowOff>38100</xdr:rowOff>
    </xdr:to>
    <xdr:pic>
      <xdr:nvPicPr>
        <xdr:cNvPr id="37916" name="Picture 5" descr="C:\Users\nijswou\AppData\Local\Temp\1\ScreenClip.png">
          <a:extLst>
            <a:ext uri="{FF2B5EF4-FFF2-40B4-BE49-F238E27FC236}">
              <a16:creationId xmlns:a16="http://schemas.microsoft.com/office/drawing/2014/main" id="{4B6E9FBD-3155-435B-A93C-A74781A3F7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33525" y="15287625"/>
          <a:ext cx="571500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304800</xdr:colOff>
      <xdr:row>3</xdr:row>
      <xdr:rowOff>9525</xdr:rowOff>
    </xdr:from>
    <xdr:to>
      <xdr:col>26</xdr:col>
      <xdr:colOff>314325</xdr:colOff>
      <xdr:row>27</xdr:row>
      <xdr:rowOff>66675</xdr:rowOff>
    </xdr:to>
    <xdr:graphicFrame macro="">
      <xdr:nvGraphicFramePr>
        <xdr:cNvPr id="37917" name="Chart 7">
          <a:extLst>
            <a:ext uri="{FF2B5EF4-FFF2-40B4-BE49-F238E27FC236}">
              <a16:creationId xmlns:a16="http://schemas.microsoft.com/office/drawing/2014/main" id="{F35B9D4F-FB2D-4ABB-AE91-24AE8474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123825</xdr:colOff>
      <xdr:row>6</xdr:row>
      <xdr:rowOff>95250</xdr:rowOff>
    </xdr:from>
    <xdr:to>
      <xdr:col>21</xdr:col>
      <xdr:colOff>542925</xdr:colOff>
      <xdr:row>29</xdr:row>
      <xdr:rowOff>9525</xdr:rowOff>
    </xdr:to>
    <xdr:graphicFrame macro="">
      <xdr:nvGraphicFramePr>
        <xdr:cNvPr id="37918" name="Chart 8">
          <a:extLst>
            <a:ext uri="{FF2B5EF4-FFF2-40B4-BE49-F238E27FC236}">
              <a16:creationId xmlns:a16="http://schemas.microsoft.com/office/drawing/2014/main" id="{18975DED-BD6F-4AC4-8975-272B8077B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1</xdr:row>
      <xdr:rowOff>0</xdr:rowOff>
    </xdr:from>
    <xdr:to>
      <xdr:col>19</xdr:col>
      <xdr:colOff>304800</xdr:colOff>
      <xdr:row>34</xdr:row>
      <xdr:rowOff>47625</xdr:rowOff>
    </xdr:to>
    <xdr:graphicFrame macro="">
      <xdr:nvGraphicFramePr>
        <xdr:cNvPr id="15385" name="Chart 1">
          <a:extLst>
            <a:ext uri="{FF2B5EF4-FFF2-40B4-BE49-F238E27FC236}">
              <a16:creationId xmlns:a16="http://schemas.microsoft.com/office/drawing/2014/main" id="{FE78833D-92D5-4429-B9F8-9D918A6AB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419100</xdr:colOff>
      <xdr:row>1</xdr:row>
      <xdr:rowOff>171449</xdr:rowOff>
    </xdr:from>
    <xdr:to>
      <xdr:col>21</xdr:col>
      <xdr:colOff>552450</xdr:colOff>
      <xdr:row>8</xdr:row>
      <xdr:rowOff>142874</xdr:rowOff>
    </xdr:to>
    <xdr:sp macro="" textlink="">
      <xdr:nvSpPr>
        <xdr:cNvPr id="2" name="TextBox 1">
          <a:extLst>
            <a:ext uri="{FF2B5EF4-FFF2-40B4-BE49-F238E27FC236}">
              <a16:creationId xmlns:a16="http://schemas.microsoft.com/office/drawing/2014/main" id="{4E6A6F38-10EC-42E2-A690-A7628CC9897F}"/>
            </a:ext>
          </a:extLst>
        </xdr:cNvPr>
        <xdr:cNvSpPr txBox="1"/>
      </xdr:nvSpPr>
      <xdr:spPr>
        <a:xfrm>
          <a:off x="11906250" y="361949"/>
          <a:ext cx="37909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weighting factors currently used are the following: carbon dioxide = 1, methane = 25, nitrous oxide = 298</a:t>
          </a:r>
        </a:p>
        <a:p>
          <a:endParaRPr lang="en-US" sz="1100"/>
        </a:p>
        <a:p>
          <a:r>
            <a:rPr lang="en-US" sz="1100"/>
            <a:t>http://ec.europa.eu/eurostat/statistics-explained/index.php/Greenhouse_gas_emission_statistics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1028700</xdr:colOff>
      <xdr:row>8</xdr:row>
      <xdr:rowOff>171450</xdr:rowOff>
    </xdr:from>
    <xdr:to>
      <xdr:col>7</xdr:col>
      <xdr:colOff>2133600</xdr:colOff>
      <xdr:row>23</xdr:row>
      <xdr:rowOff>57150</xdr:rowOff>
    </xdr:to>
    <xdr:graphicFrame macro="">
      <xdr:nvGraphicFramePr>
        <xdr:cNvPr id="21514" name="Chart 1">
          <a:extLst>
            <a:ext uri="{FF2B5EF4-FFF2-40B4-BE49-F238E27FC236}">
              <a16:creationId xmlns:a16="http://schemas.microsoft.com/office/drawing/2014/main" id="{582D099E-4276-4D23-B81E-BB26186DB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se-veda04" refreshedDate="42943.673558333336" createdVersion="1" refreshedVersion="4" recordCount="420" upgradeOnRefresh="1">
  <cacheSource type="worksheet">
    <worksheetSource ref="D3:O423" sheet="UNFCCC_V20 data non-ETS"/>
  </cacheSource>
  <cacheFields count="12">
    <cacheField name="Country_code" numFmtId="0">
      <sharedItems count="35">
        <s v="AT"/>
        <s v="BE"/>
        <s v="BG"/>
        <s v="CH"/>
        <s v="CY"/>
        <s v="CZ"/>
        <s v="DE"/>
        <s v="DK"/>
        <s v="EE"/>
        <s v="ES"/>
        <s v="EUA"/>
        <s v="EUC"/>
        <s v="FR"/>
        <s v="FI"/>
        <s v="GR"/>
        <s v="HR"/>
        <s v="IE"/>
        <s v="HU"/>
        <s v="IS"/>
        <s v="IT"/>
        <s v="LI"/>
        <s v="LT"/>
        <s v="LU"/>
        <s v="LV"/>
        <s v="MT"/>
        <s v="NL"/>
        <s v="NO"/>
        <s v="PL"/>
        <s v="PT"/>
        <s v="RO"/>
        <s v="SE"/>
        <s v="SI"/>
        <s v="SK"/>
        <s v="UK"/>
        <s v="TR"/>
      </sharedItems>
    </cacheField>
    <cacheField name="Country" numFmtId="0">
      <sharedItems containsString="0"/>
    </cacheField>
    <cacheField name="Format_name" numFmtId="0">
      <sharedItems containsString="0"/>
    </cacheField>
    <cacheField name="Pollutant_name" numFmtId="0">
      <sharedItems count="2">
        <s v="CH4"/>
        <s v="N2O"/>
      </sharedItems>
    </cacheField>
    <cacheField name="Year" numFmtId="0">
      <sharedItems count="3">
        <s v="2015"/>
        <s v="2005"/>
        <s v="2010"/>
      </sharedItems>
    </cacheField>
    <cacheField name="Sector_name" numFmtId="0">
      <sharedItems count="2">
        <s v="3 - Agriculture"/>
        <s v="5 - Waste management"/>
      </sharedItems>
    </cacheField>
    <cacheField name="Parent_sector_code" numFmtId="0">
      <sharedItems containsString="0"/>
    </cacheField>
    <cacheField name="Sector_code" numFmtId="0">
      <sharedItems containsString="0"/>
    </cacheField>
    <cacheField name="Notation" numFmtId="0">
      <sharedItems containsString="0"/>
    </cacheField>
    <cacheField name="Unit" numFmtId="0">
      <sharedItems containsString="0"/>
    </cacheField>
    <cacheField name="emissions" numFmtId="0">
      <sharedItems containsSemiMixedTypes="0" containsString="0" containsNumber="1"/>
    </cacheField>
    <cacheField name="CO2Eq" numFmtId="0">
      <sharedItems containsSemiMixedTypes="0" containsString="0" containsNumber="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se-veda04" refreshedDate="42944.599797337964" createdVersion="1" refreshedVersion="4" recordCount="27" upgradeOnRefresh="1">
  <cacheSource type="worksheet">
    <worksheetSource ref="B2:O29" sheet="Non CO2 total"/>
  </cacheSource>
  <cacheFields count="14">
    <cacheField name="DataSource" numFmtId="0">
      <sharedItems containsString="0"/>
    </cacheField>
    <cacheField name="Country_code" numFmtId="0">
      <sharedItems containsString="0"/>
    </cacheField>
    <cacheField name="Country" numFmtId="0">
      <sharedItems containsString="0"/>
    </cacheField>
    <cacheField name="Format_name" numFmtId="0">
      <sharedItems containsString="0"/>
    </cacheField>
    <cacheField name="Pollutant_name" numFmtId="0">
      <sharedItems count="9">
        <s v="CH4"/>
        <s v="N2O"/>
        <s v="CO2"/>
        <s v="All greenhouse gases - (CO2 equivalent)"/>
        <s v="NF3 - (CO2 equivalent)"/>
        <s v="PFCs - (CO2 equivalent)"/>
        <s v="HFCs - (CO2 equivalent)"/>
        <s v="SF6 - (CO2 equivalent)"/>
        <s v="Unspecified mix of HFCs and PFCs - (CO2 equivalent)"/>
      </sharedItems>
    </cacheField>
    <cacheField name="Year" numFmtId="0">
      <sharedItems count="3">
        <s v="2005"/>
        <s v="2010"/>
        <s v="2015"/>
      </sharedItems>
    </cacheField>
    <cacheField name="Sector_name" numFmtId="0">
      <sharedItems containsString="0"/>
    </cacheField>
    <cacheField name="Parent_sector_code" numFmtId="0">
      <sharedItems containsString="0"/>
    </cacheField>
    <cacheField name="Sector_code" numFmtId="0">
      <sharedItems containsString="0"/>
    </cacheField>
    <cacheField name="Notation" numFmtId="0">
      <sharedItems containsString="0"/>
    </cacheField>
    <cacheField name="Unit" numFmtId="0">
      <sharedItems containsString="0"/>
    </cacheField>
    <cacheField name="emissions" numFmtId="0">
      <sharedItems containsSemiMixedTypes="0" containsString="0" containsNumber="1"/>
    </cacheField>
    <cacheField name="emissions2" numFmtId="0">
      <sharedItems containsSemiMixedTypes="0" containsString="0" containsNumber="1"/>
    </cacheField>
    <cacheField name="Check" numFmtId="0">
      <sharedItems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se-veda04" refreshedDate="42947.537789351853" createdVersion="1" refreshedVersion="4" recordCount="183" upgradeOnRefresh="1">
  <cacheSource type="worksheet">
    <worksheetSource ref="B2:O185" sheet="N2O PFC ETS"/>
  </cacheSource>
  <cacheFields count="14">
    <cacheField name="PublicationDate" numFmtId="0">
      <sharedItems containsString="0"/>
    </cacheField>
    <cacheField name="DataSource" numFmtId="0">
      <sharedItems containsString="0"/>
    </cacheField>
    <cacheField name="Country_code" numFmtId="0">
      <sharedItems containsString="0"/>
    </cacheField>
    <cacheField name="Country" numFmtId="0">
      <sharedItems count="35">
        <s v="Austria"/>
        <s v="Belgium"/>
        <s v="Bulgaria"/>
        <s v="Switzerland"/>
        <s v="Cyprus"/>
        <s v="Germany"/>
        <s v="Denmark"/>
        <s v="Czech Republic"/>
        <s v="Estonia"/>
        <s v="Spain"/>
        <s v="EU28 (Convention)"/>
        <s v="EU (KP)"/>
        <s v="France"/>
        <s v="Finland"/>
        <s v="Greece"/>
        <s v="Croatia"/>
        <s v="Hungary"/>
        <s v="Ireland"/>
        <s v="Iceland"/>
        <s v="Italy"/>
        <s v="Lithuania"/>
        <s v="Liechtenstein"/>
        <s v="Luxembourg"/>
        <s v="Latvia"/>
        <s v="Malta"/>
        <s v="Netherlands"/>
        <s v="Norway"/>
        <s v="Poland"/>
        <s v="Portugal"/>
        <s v="Sweden"/>
        <s v="Romania"/>
        <s v="Slovakia"/>
        <s v="Slovenia"/>
        <s v="Turkey"/>
        <s v="United Kingdom (Convention)"/>
      </sharedItems>
    </cacheField>
    <cacheField name="Format_name" numFmtId="0">
      <sharedItems containsString="0"/>
    </cacheField>
    <cacheField name="Pollutant_name" numFmtId="0">
      <sharedItems containsString="0"/>
    </cacheField>
    <cacheField name="Year" numFmtId="0">
      <sharedItems count="3">
        <s v="2005"/>
        <s v="2010"/>
        <s v="2015"/>
      </sharedItems>
    </cacheField>
    <cacheField name="Sector_name" numFmtId="0">
      <sharedItems containsString="0"/>
    </cacheField>
    <cacheField name="Parent_sector_code" numFmtId="0">
      <sharedItems containsString="0"/>
    </cacheField>
    <cacheField name="Sector_code" numFmtId="0">
      <sharedItems containsString="0"/>
    </cacheField>
    <cacheField name="Notation" numFmtId="0">
      <sharedItems containsString="0"/>
    </cacheField>
    <cacheField name="Unit" numFmtId="0">
      <sharedItems containsString="0"/>
    </cacheField>
    <cacheField name="emissions" numFmtId="0">
      <sharedItems containsSemiMixedTypes="0" containsString="0" containsNumber="1"/>
    </cacheField>
    <cacheField name="emissions CO2 eq" numFmtId="0">
      <sharedItems containsSemiMixedTypes="0" containsString="0"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0"/>
</file>

<file path=xl/pivotCache/pivotCacheRecords2.xml><?xml version="1.0" encoding="utf-8"?>
<pivotCacheRecords xmlns="http://schemas.openxmlformats.org/spreadsheetml/2006/main" xmlns:r="http://schemas.openxmlformats.org/officeDocument/2006/relationships" count="27"/>
</file>

<file path=xl/pivotCache/pivotCacheRecords3.xml><?xml version="1.0" encoding="utf-8"?>
<pivotCacheRecords xmlns="http://schemas.openxmlformats.org/spreadsheetml/2006/main" xmlns:r="http://schemas.openxmlformats.org/officeDocument/2006/relationships" count="183"/>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2" dataOnRows="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4:E14" firstHeaderRow="1" firstDataRow="2" firstDataCol="2" rowPageCount="1" colPageCount="1"/>
  <pivotFields count="12">
    <pivotField axis="axisPage" compact="0" outline="0" subtotalTop="0" showAll="0" includeNewItemsInFilter="1">
      <items count="36">
        <item h="1" x="0"/>
        <item h="1" x="1"/>
        <item h="1" x="2"/>
        <item h="1" x="3"/>
        <item h="1" x="4"/>
        <item h="1" x="5"/>
        <item h="1" x="6"/>
        <item h="1" x="7"/>
        <item h="1" x="8"/>
        <item h="1" x="9"/>
        <item x="10"/>
        <item h="1" x="11"/>
        <item h="1" x="13"/>
        <item h="1" x="12"/>
        <item h="1" x="14"/>
        <item h="1" x="15"/>
        <item h="1" x="17"/>
        <item h="1" x="16"/>
        <item h="1" x="18"/>
        <item h="1" x="19"/>
        <item h="1" x="20"/>
        <item h="1" x="21"/>
        <item h="1" x="22"/>
        <item h="1" x="23"/>
        <item h="1" x="24"/>
        <item h="1" x="25"/>
        <item h="1" x="26"/>
        <item h="1" x="27"/>
        <item h="1" x="28"/>
        <item h="1" x="29"/>
        <item h="1" x="30"/>
        <item h="1" x="31"/>
        <item h="1" x="32"/>
        <item h="1" x="34"/>
        <item h="1" x="33"/>
        <item t="default"/>
      </items>
    </pivotField>
    <pivotField compact="0" outline="0" subtotalTop="0" showAll="0" includeNewItemsInFilter="1"/>
    <pivotField compact="0" outline="0" subtotalTop="0" showAll="0" includeNewItemsInFilter="1"/>
    <pivotField axis="axisCol" compact="0" outline="0" subtotalTop="0" showAll="0" includeNewItemsInFilter="1">
      <items count="3">
        <item x="0"/>
        <item x="1"/>
        <item t="default"/>
      </items>
    </pivotField>
    <pivotField axis="axisRow" compact="0" outline="0" subtotalTop="0" showAll="0" includeNewItemsInFilter="1">
      <items count="4">
        <item x="1"/>
        <item x="2"/>
        <item x="0"/>
        <item t="default"/>
      </items>
    </pivotField>
    <pivotField axis="axisRow" compact="0" outline="0" subtotalTop="0" showAll="0" includeNewItemsInFilter="1">
      <items count="3">
        <item x="0"/>
        <ite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numFmtId="1" outline="0" subtotalTop="0" showAll="0" includeNewItemsInFilter="1"/>
  </pivotFields>
  <rowFields count="2">
    <field x="5"/>
    <field x="4"/>
  </rowFields>
  <rowItems count="9">
    <i>
      <x/>
      <x/>
    </i>
    <i r="1">
      <x v="1"/>
    </i>
    <i r="1">
      <x v="2"/>
    </i>
    <i t="default">
      <x/>
    </i>
    <i>
      <x v="1"/>
      <x/>
    </i>
    <i r="1">
      <x v="1"/>
    </i>
    <i r="1">
      <x v="2"/>
    </i>
    <i t="default">
      <x v="1"/>
    </i>
    <i t="grand">
      <x/>
    </i>
  </rowItems>
  <colFields count="1">
    <field x="3"/>
  </colFields>
  <colItems count="3">
    <i>
      <x/>
    </i>
    <i>
      <x v="1"/>
    </i>
    <i t="grand">
      <x/>
    </i>
  </colItems>
  <pageFields count="1">
    <pageField fld="0" hier="0"/>
  </pageFields>
  <dataFields count="1">
    <dataField name="Sum of CO2Eq" fld="1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1" cacheId="2" dataOnRows="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4:AI9" firstHeaderRow="1" firstDataRow="2" firstDataCol="1"/>
  <pivotFields count="12">
    <pivotField axis="axisCol" compact="0" outline="0" subtotalTop="0" showAll="0" includeNewItemsInFilter="1">
      <items count="36">
        <item x="0"/>
        <item x="1"/>
        <item x="2"/>
        <item x="3"/>
        <item x="4"/>
        <item x="5"/>
        <item x="6"/>
        <item x="7"/>
        <item x="8"/>
        <item x="9"/>
        <item h="1" x="10"/>
        <item h="1" x="11"/>
        <item x="13"/>
        <item x="12"/>
        <item x="14"/>
        <item x="15"/>
        <item x="17"/>
        <item x="16"/>
        <item x="18"/>
        <item x="19"/>
        <item x="20"/>
        <item x="21"/>
        <item x="22"/>
        <item x="23"/>
        <item x="24"/>
        <item x="25"/>
        <item x="26"/>
        <item x="27"/>
        <item x="28"/>
        <item x="29"/>
        <item x="30"/>
        <item x="31"/>
        <item x="32"/>
        <item x="34"/>
        <item x="33"/>
        <item t="default"/>
      </items>
    </pivotField>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
        <item x="1"/>
        <item x="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numFmtId="1" outline="0" subtotalTop="0" showAll="0" includeNewItemsInFilter="1"/>
  </pivotFields>
  <rowFields count="1">
    <field x="4"/>
  </rowFields>
  <rowItems count="4">
    <i>
      <x/>
    </i>
    <i>
      <x v="1"/>
    </i>
    <i>
      <x v="2"/>
    </i>
    <i t="grand">
      <x/>
    </i>
  </rowItems>
  <colFields count="1">
    <field x="0"/>
  </colFields>
  <colItems count="34">
    <i>
      <x/>
    </i>
    <i>
      <x v="1"/>
    </i>
    <i>
      <x v="2"/>
    </i>
    <i>
      <x v="3"/>
    </i>
    <i>
      <x v="4"/>
    </i>
    <i>
      <x v="5"/>
    </i>
    <i>
      <x v="6"/>
    </i>
    <i>
      <x v="7"/>
    </i>
    <i>
      <x v="8"/>
    </i>
    <i>
      <x v="9"/>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um of CO2Eq" fld="1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2" cacheId="3" dataOnRows="1" applyNumberFormats="0" applyBorderFormats="0" applyFontFormats="0" applyPatternFormats="0" applyAlignmentFormats="0" applyWidthHeightFormats="1" dataCaption="Data" updatedVersion="4" showMemberPropertyTips="0" itemPrintTitles="1" createdVersion="1" indent="0" compact="0" compactData="0" gridDropZones="1">
  <location ref="A3:I8"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10">
        <item h="1" x="3"/>
        <item x="0"/>
        <item h="1" x="2"/>
        <item x="6"/>
        <item x="1"/>
        <item x="4"/>
        <item x="5"/>
        <item x="7"/>
        <item x="8"/>
        <item t="default"/>
      </items>
    </pivotField>
    <pivotField axis="axisRow" compact="0" outline="0" subtotalTop="0" showAll="0" includeNewItemsInFilter="1">
      <items count="4">
        <item x="0"/>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numFmtId="1" outline="0" subtotalTop="0" showAll="0" includeNewItemsInFilter="1"/>
    <pivotField compact="0" outline="0" subtotalTop="0" showAll="0" includeNewItemsInFilter="1"/>
  </pivotFields>
  <rowFields count="1">
    <field x="5"/>
  </rowFields>
  <rowItems count="4">
    <i>
      <x/>
    </i>
    <i>
      <x v="1"/>
    </i>
    <i>
      <x v="2"/>
    </i>
    <i t="grand">
      <x/>
    </i>
  </rowItems>
  <colFields count="1">
    <field x="4"/>
  </colFields>
  <colItems count="8">
    <i>
      <x v="1"/>
    </i>
    <i>
      <x v="3"/>
    </i>
    <i>
      <x v="4"/>
    </i>
    <i>
      <x v="5"/>
    </i>
    <i>
      <x v="6"/>
    </i>
    <i>
      <x v="7"/>
    </i>
    <i>
      <x v="8"/>
    </i>
    <i t="grand">
      <x/>
    </i>
  </colItems>
  <dataFields count="1">
    <dataField name="Sum of emissions2" fld="12" baseField="5" baseItem="2" numFmtId="1"/>
  </dataFields>
  <formats count="1">
    <format dxfId="2">
      <pivotArea field="5" grandCol="1" outline="0" axis="axisRow" fieldPosition="0">
        <references count="1">
          <reference field="5" count="0" selected="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3" cacheId="4"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1:E38"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0"/>
        <item x="1"/>
        <item x="2"/>
        <item x="15"/>
        <item x="4"/>
        <item x="7"/>
        <item x="6"/>
        <item x="8"/>
        <item x="11"/>
        <item x="10"/>
        <item x="13"/>
        <item x="12"/>
        <item x="5"/>
        <item x="14"/>
        <item x="16"/>
        <item x="18"/>
        <item x="17"/>
        <item x="19"/>
        <item x="23"/>
        <item x="21"/>
        <item x="20"/>
        <item x="22"/>
        <item x="24"/>
        <item x="25"/>
        <item x="26"/>
        <item x="27"/>
        <item x="28"/>
        <item x="30"/>
        <item x="31"/>
        <item x="32"/>
        <item x="9"/>
        <item x="29"/>
        <item x="3"/>
        <item x="33"/>
        <item x="34"/>
        <item t="default"/>
      </items>
    </pivotField>
    <pivotField compact="0" outline="0" subtotalTop="0" showAll="0" includeNewItemsInFilter="1"/>
    <pivotField compact="0" outline="0" subtotalTop="0" showAll="0" includeNewItemsInFilter="1"/>
    <pivotField axis="axisCol" compact="0" outline="0" subtotalTop="0" showAll="0" includeNewItemsInFilter="1">
      <items count="4">
        <item x="0"/>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numFmtId="186" outline="0" subtotalTop="0" showAll="0" includeNewItemsInFilter="1" defaultSubtotal="0"/>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6"/>
  </colFields>
  <colItems count="4">
    <i>
      <x/>
    </i>
    <i>
      <x v="1"/>
    </i>
    <i>
      <x v="2"/>
    </i>
    <i t="grand">
      <x/>
    </i>
  </colItems>
  <dataFields count="1">
    <dataField name="Sum of emissions CO2 eq" fld="13" baseField="3" baseItem="14" numFmtId="186"/>
  </dataFields>
  <formats count="2">
    <format dxfId="1">
      <pivotArea outline="0" fieldPosition="0">
        <references count="2">
          <reference field="3" count="1" selected="0">
            <x v="3"/>
          </reference>
          <reference field="6" count="1" selected="0">
            <x v="2"/>
          </reference>
        </references>
      </pivotArea>
    </format>
    <format dxfId="0">
      <pivotArea outline="0" fieldPosition="0">
        <references count="1">
          <reference field="4294967294" count="1">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eea.europa.eu/data-and-maps/data/national-emissions-reported-to-the-unfccc-and-to-the-eu-greenhouse-gas-monitoring-mechanism-13"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eea.europa.eu/data-and-maps/daviz/ghg-distance-of-non-ETS-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c.europa.eu/clima/policies/effort/implementation_en" TargetMode="External"/><Relationship Id="rId2" Type="http://schemas.openxmlformats.org/officeDocument/2006/relationships/hyperlink" Target="https://ec.europa.eu/clima/policies/strategies/progress_en" TargetMode="External"/><Relationship Id="rId1" Type="http://schemas.openxmlformats.org/officeDocument/2006/relationships/hyperlink" Target="https://ec.europa.eu/clima/policies/effort/proposal_en" TargetMode="External"/><Relationship Id="rId5" Type="http://schemas.openxmlformats.org/officeDocument/2006/relationships/drawing" Target="../drawings/drawing2.xml"/><Relationship Id="rId4" Type="http://schemas.openxmlformats.org/officeDocument/2006/relationships/hyperlink" Target="http://eur-lex.europa.eu/legal-content/EN/TXT/PDF/?uri=CELEX:52016SC0247&amp;from=N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2"/>
  <sheetViews>
    <sheetView tabSelected="1" topLeftCell="H1" workbookViewId="0">
      <selection activeCell="N27" sqref="N27"/>
    </sheetView>
  </sheetViews>
  <sheetFormatPr defaultRowHeight="15"/>
  <cols>
    <col min="1" max="1" width="6.5703125" style="15" customWidth="1"/>
    <col min="9" max="9" width="53.5703125" customWidth="1"/>
    <col min="13" max="13" width="15" customWidth="1"/>
    <col min="14" max="14" width="14.7109375" bestFit="1" customWidth="1"/>
    <col min="15" max="15" width="10.5703125" bestFit="1" customWidth="1"/>
    <col min="16" max="16" width="12.140625" bestFit="1" customWidth="1"/>
    <col min="17" max="17" width="10.5703125" bestFit="1" customWidth="1"/>
    <col min="18" max="18" width="10.7109375" bestFit="1" customWidth="1"/>
    <col min="19" max="19" width="9.7109375" bestFit="1" customWidth="1"/>
    <col min="20" max="20" width="10.7109375" bestFit="1" customWidth="1"/>
    <col min="21" max="21" width="11.7109375" bestFit="1" customWidth="1"/>
    <col min="22" max="22" width="10.7109375" bestFit="1" customWidth="1"/>
    <col min="23" max="23" width="9.7109375" bestFit="1" customWidth="1"/>
    <col min="24" max="24" width="10.7109375" bestFit="1" customWidth="1"/>
    <col min="25" max="25" width="11.7109375" bestFit="1" customWidth="1"/>
    <col min="26" max="26" width="10.7109375" bestFit="1" customWidth="1"/>
    <col min="27" max="27" width="11.7109375" bestFit="1" customWidth="1"/>
    <col min="28" max="30" width="10.7109375" bestFit="1" customWidth="1"/>
    <col min="31" max="31" width="11.7109375" bestFit="1" customWidth="1"/>
    <col min="32" max="32" width="9.7109375" bestFit="1" customWidth="1"/>
    <col min="33" max="33" width="10.7109375" bestFit="1" customWidth="1"/>
    <col min="34" max="35" width="9.7109375" bestFit="1" customWidth="1"/>
    <col min="36" max="37" width="11.7109375" bestFit="1" customWidth="1"/>
    <col min="38" max="42" width="10.7109375" bestFit="1" customWidth="1"/>
    <col min="43" max="43" width="11.7109375" style="14" bestFit="1" customWidth="1"/>
    <col min="44" max="44" width="9.5703125" bestFit="1" customWidth="1"/>
    <col min="45" max="45" width="9.28515625" bestFit="1" customWidth="1"/>
    <col min="46" max="46" width="9.5703125" bestFit="1" customWidth="1"/>
  </cols>
  <sheetData>
    <row r="1" spans="2:53">
      <c r="B1" t="s">
        <v>12</v>
      </c>
    </row>
    <row r="2" spans="2:53">
      <c r="C2" s="1" t="s">
        <v>0</v>
      </c>
      <c r="D2" s="1"/>
    </row>
    <row r="3" spans="2:53">
      <c r="C3" s="7" t="s">
        <v>10</v>
      </c>
      <c r="D3" s="7"/>
    </row>
    <row r="4" spans="2:53">
      <c r="L4" t="s">
        <v>52</v>
      </c>
    </row>
    <row r="5" spans="2:53" ht="15.75" thickBot="1">
      <c r="C5" s="5" t="s">
        <v>1</v>
      </c>
      <c r="D5" s="5" t="s">
        <v>11</v>
      </c>
      <c r="E5" s="2" t="s">
        <v>5</v>
      </c>
      <c r="F5" s="2" t="s">
        <v>4</v>
      </c>
      <c r="G5" s="2" t="s">
        <v>2</v>
      </c>
      <c r="H5" s="2" t="s">
        <v>7</v>
      </c>
      <c r="I5" s="4" t="s">
        <v>6</v>
      </c>
      <c r="J5" s="4" t="s">
        <v>8</v>
      </c>
      <c r="K5" s="4" t="s">
        <v>3</v>
      </c>
      <c r="L5" s="4" t="s">
        <v>9</v>
      </c>
      <c r="M5" s="3" t="s">
        <v>50</v>
      </c>
      <c r="N5" s="3" t="s">
        <v>152</v>
      </c>
      <c r="O5" s="6" t="s">
        <v>53</v>
      </c>
      <c r="P5" s="16" t="s">
        <v>48</v>
      </c>
      <c r="Q5" s="16" t="s">
        <v>46</v>
      </c>
      <c r="R5" s="16" t="s">
        <v>45</v>
      </c>
      <c r="S5" s="16" t="s">
        <v>43</v>
      </c>
      <c r="T5" s="16" t="s">
        <v>42</v>
      </c>
      <c r="U5" s="16" t="s">
        <v>41</v>
      </c>
      <c r="V5" s="16" t="s">
        <v>40</v>
      </c>
      <c r="W5" s="16" t="s">
        <v>39</v>
      </c>
      <c r="X5" s="16" t="s">
        <v>38</v>
      </c>
      <c r="Y5" s="16" t="s">
        <v>37</v>
      </c>
      <c r="Z5" s="16" t="s">
        <v>36</v>
      </c>
      <c r="AA5" s="16" t="s">
        <v>35</v>
      </c>
      <c r="AB5" s="16" t="s">
        <v>34</v>
      </c>
      <c r="AC5" s="16" t="s">
        <v>33</v>
      </c>
      <c r="AD5" s="16" t="s">
        <v>32</v>
      </c>
      <c r="AE5" s="16" t="s">
        <v>30</v>
      </c>
      <c r="AF5" s="16" t="s">
        <v>28</v>
      </c>
      <c r="AG5" s="16" t="s">
        <v>27</v>
      </c>
      <c r="AH5" s="16" t="s">
        <v>26</v>
      </c>
      <c r="AI5" s="16" t="s">
        <v>23</v>
      </c>
      <c r="AJ5" s="16" t="s">
        <v>22</v>
      </c>
      <c r="AK5" s="16" t="s">
        <v>20</v>
      </c>
      <c r="AL5" s="16" t="s">
        <v>19</v>
      </c>
      <c r="AM5" s="16" t="s">
        <v>18</v>
      </c>
      <c r="AN5" s="16" t="s">
        <v>16</v>
      </c>
      <c r="AO5" s="16" t="s">
        <v>15</v>
      </c>
      <c r="AP5" s="16" t="s">
        <v>14</v>
      </c>
      <c r="AQ5" s="16" t="s">
        <v>13</v>
      </c>
      <c r="AR5" s="14"/>
      <c r="AS5" s="16" t="s">
        <v>44</v>
      </c>
      <c r="AT5" s="16" t="s">
        <v>31</v>
      </c>
      <c r="AU5" s="16" t="s">
        <v>21</v>
      </c>
      <c r="AV5" s="17" t="s">
        <v>49</v>
      </c>
      <c r="AW5" s="17" t="s">
        <v>47</v>
      </c>
      <c r="AX5" s="17" t="s">
        <v>25</v>
      </c>
      <c r="AY5" s="17" t="s">
        <v>24</v>
      </c>
      <c r="AZ5" s="17" t="s">
        <v>17</v>
      </c>
      <c r="BA5" s="17" t="s">
        <v>29</v>
      </c>
    </row>
    <row r="6" spans="2:53">
      <c r="C6" t="s">
        <v>149</v>
      </c>
      <c r="D6" t="s">
        <v>150</v>
      </c>
      <c r="F6" s="35"/>
      <c r="I6" t="s">
        <v>51</v>
      </c>
      <c r="K6">
        <v>2010</v>
      </c>
      <c r="M6">
        <v>1</v>
      </c>
      <c r="O6">
        <v>5</v>
      </c>
      <c r="P6" s="49">
        <f>2*P7</f>
        <v>71015.153002955063</v>
      </c>
      <c r="Q6" s="49">
        <f t="shared" ref="Q6:AQ6" si="0">2*Q7</f>
        <v>100557.27221682183</v>
      </c>
      <c r="R6" s="49">
        <f t="shared" si="0"/>
        <v>24735.198983831764</v>
      </c>
      <c r="S6" s="49">
        <f t="shared" si="0"/>
        <v>4657.6549102622221</v>
      </c>
      <c r="T6" s="49">
        <f t="shared" si="0"/>
        <v>74977.133662205437</v>
      </c>
      <c r="U6" s="49">
        <f t="shared" si="0"/>
        <v>572467.91174161981</v>
      </c>
      <c r="V6" s="49">
        <f t="shared" si="0"/>
        <v>34305.081577305631</v>
      </c>
      <c r="W6" s="49">
        <f t="shared" si="0"/>
        <v>5611.4002805785321</v>
      </c>
      <c r="X6" s="49">
        <f t="shared" si="0"/>
        <v>51284.834538576491</v>
      </c>
      <c r="Y6" s="49">
        <f t="shared" si="0"/>
        <v>231223.055821585</v>
      </c>
      <c r="Z6" s="49">
        <f t="shared" si="0"/>
        <v>35530.870365851129</v>
      </c>
      <c r="AA6" s="49">
        <f t="shared" si="0"/>
        <v>402329.17472485849</v>
      </c>
      <c r="AB6" s="49">
        <f t="shared" si="0"/>
        <v>18907.068574400575</v>
      </c>
      <c r="AC6" s="49">
        <f t="shared" si="0"/>
        <v>49711.703000742695</v>
      </c>
      <c r="AD6" s="49">
        <f t="shared" si="0"/>
        <v>38576.674996461872</v>
      </c>
      <c r="AE6" s="49">
        <f t="shared" si="0"/>
        <v>375672.26545349648</v>
      </c>
      <c r="AF6" s="49">
        <f t="shared" si="0"/>
        <v>12001.696532868309</v>
      </c>
      <c r="AG6" s="49">
        <f t="shared" si="0"/>
        <v>16259.646440840086</v>
      </c>
      <c r="AH6" s="49">
        <f t="shared" si="0"/>
        <v>8871.516479042346</v>
      </c>
      <c r="AI6" s="49">
        <f t="shared" si="0"/>
        <v>1188.3236938805633</v>
      </c>
      <c r="AJ6" s="49">
        <f t="shared" si="0"/>
        <v>154319.2880618764</v>
      </c>
      <c r="AK6" s="49">
        <f t="shared" si="0"/>
        <v>243492.40046625651</v>
      </c>
      <c r="AL6" s="49">
        <f t="shared" si="0"/>
        <v>43745.268529018744</v>
      </c>
      <c r="AM6" s="49">
        <f t="shared" si="0"/>
        <v>62669.392939989055</v>
      </c>
      <c r="AN6" s="49">
        <f t="shared" si="0"/>
        <v>42192.834137324469</v>
      </c>
      <c r="AO6" s="49">
        <f t="shared" si="0"/>
        <v>13680.589657569653</v>
      </c>
      <c r="AP6" s="49">
        <f t="shared" si="0"/>
        <v>33008.174132715299</v>
      </c>
      <c r="AQ6" s="49">
        <f t="shared" si="0"/>
        <v>444289.03166109126</v>
      </c>
      <c r="AR6" s="14"/>
    </row>
    <row r="7" spans="2:53">
      <c r="I7" s="47" t="s">
        <v>51</v>
      </c>
      <c r="K7">
        <v>2020</v>
      </c>
      <c r="P7" s="49">
        <f>P40*1000</f>
        <v>35507.576501477532</v>
      </c>
      <c r="Q7" s="49">
        <f t="shared" ref="Q7:AQ7" si="1">Q40*1000</f>
        <v>50278.636108410916</v>
      </c>
      <c r="R7" s="49">
        <f t="shared" si="1"/>
        <v>12367.599491915882</v>
      </c>
      <c r="S7" s="49">
        <f t="shared" si="1"/>
        <v>2328.827455131111</v>
      </c>
      <c r="T7" s="49">
        <f t="shared" si="1"/>
        <v>37488.566831102718</v>
      </c>
      <c r="U7" s="49">
        <f t="shared" si="1"/>
        <v>286233.95587080991</v>
      </c>
      <c r="V7" s="49">
        <f t="shared" si="1"/>
        <v>17152.540788652816</v>
      </c>
      <c r="W7" s="49">
        <f t="shared" si="1"/>
        <v>2805.7001402892661</v>
      </c>
      <c r="X7" s="49">
        <f t="shared" si="1"/>
        <v>25642.417269288246</v>
      </c>
      <c r="Y7" s="49">
        <f t="shared" si="1"/>
        <v>115611.5279107925</v>
      </c>
      <c r="Z7" s="49">
        <f t="shared" si="1"/>
        <v>17765.435182925565</v>
      </c>
      <c r="AA7" s="49">
        <f t="shared" si="1"/>
        <v>201164.58736242924</v>
      </c>
      <c r="AB7" s="49">
        <f t="shared" si="1"/>
        <v>9453.5342872002875</v>
      </c>
      <c r="AC7" s="49">
        <f t="shared" si="1"/>
        <v>24855.851500371347</v>
      </c>
      <c r="AD7" s="49">
        <f t="shared" si="1"/>
        <v>19288.337498230936</v>
      </c>
      <c r="AE7" s="49">
        <f t="shared" si="1"/>
        <v>187836.13272674824</v>
      </c>
      <c r="AF7" s="49">
        <f t="shared" si="1"/>
        <v>6000.8482664341545</v>
      </c>
      <c r="AG7" s="49">
        <f t="shared" si="1"/>
        <v>8129.8232204200431</v>
      </c>
      <c r="AH7" s="49">
        <f t="shared" si="1"/>
        <v>4435.758239521173</v>
      </c>
      <c r="AI7" s="49">
        <f t="shared" si="1"/>
        <v>594.16184694028163</v>
      </c>
      <c r="AJ7" s="49">
        <f t="shared" si="1"/>
        <v>77159.644030938201</v>
      </c>
      <c r="AK7" s="49">
        <f t="shared" si="1"/>
        <v>121746.20023312826</v>
      </c>
      <c r="AL7" s="49">
        <f t="shared" si="1"/>
        <v>21872.634264509372</v>
      </c>
      <c r="AM7" s="49">
        <f t="shared" si="1"/>
        <v>31334.696469994527</v>
      </c>
      <c r="AN7" s="49">
        <f t="shared" si="1"/>
        <v>21096.417068662235</v>
      </c>
      <c r="AO7" s="49">
        <f t="shared" si="1"/>
        <v>6840.2948287848267</v>
      </c>
      <c r="AP7" s="49">
        <f t="shared" si="1"/>
        <v>16504.08706635765</v>
      </c>
      <c r="AQ7" s="49">
        <f t="shared" si="1"/>
        <v>222144.51583054563</v>
      </c>
      <c r="AR7" s="14"/>
      <c r="AS7" s="19"/>
      <c r="AT7" s="19"/>
      <c r="AU7" s="19"/>
    </row>
    <row r="8" spans="2:53">
      <c r="I8" t="s">
        <v>51</v>
      </c>
      <c r="K8">
        <v>2030</v>
      </c>
      <c r="P8" s="49">
        <f>P42*1000</f>
        <v>27972.177729036488</v>
      </c>
      <c r="Q8" s="49">
        <f t="shared" ref="Q8:AQ8" si="2">Q42*1000</f>
        <v>36073.584195042909</v>
      </c>
      <c r="R8" s="49">
        <f t="shared" si="2"/>
        <v>18454.432068387778</v>
      </c>
      <c r="S8" s="49">
        <f t="shared" si="2"/>
        <v>1888.3820696885948</v>
      </c>
      <c r="T8" s="49">
        <f t="shared" si="2"/>
        <v>40013.122395787374</v>
      </c>
      <c r="U8" s="49">
        <f t="shared" si="2"/>
        <v>207572.72785462436</v>
      </c>
      <c r="V8" s="49">
        <f t="shared" si="2"/>
        <v>10237.20742530194</v>
      </c>
      <c r="W8" s="49">
        <f t="shared" si="2"/>
        <v>2910.9282768640151</v>
      </c>
      <c r="X8" s="49">
        <f t="shared" si="2"/>
        <v>38427.526098691938</v>
      </c>
      <c r="Y8" s="49">
        <f t="shared" si="2"/>
        <v>114473.50406395592</v>
      </c>
      <c r="Z8" s="49">
        <f t="shared" si="2"/>
        <v>12790.20070981597</v>
      </c>
      <c r="AA8" s="49">
        <f t="shared" si="2"/>
        <v>138260.81911462551</v>
      </c>
      <c r="AB8" s="49">
        <f t="shared" si="2"/>
        <v>12001.800195392459</v>
      </c>
      <c r="AC8" s="49">
        <f t="shared" si="2"/>
        <v>34178.701945057699</v>
      </c>
      <c r="AD8" s="49">
        <f t="shared" si="2"/>
        <v>9614.4335140693929</v>
      </c>
      <c r="AE8" s="49">
        <f t="shared" si="2"/>
        <v>157685.46704212861</v>
      </c>
      <c r="AF8" s="49">
        <f t="shared" si="2"/>
        <v>6264.7011260203435</v>
      </c>
      <c r="AG8" s="49">
        <f t="shared" si="2"/>
        <v>4995.9152288881305</v>
      </c>
      <c r="AH8" s="49">
        <f t="shared" si="2"/>
        <v>4883.816357686781</v>
      </c>
      <c r="AI8" s="49">
        <f t="shared" si="2"/>
        <v>548.77696622876795</v>
      </c>
      <c r="AJ8" s="49">
        <f t="shared" si="2"/>
        <v>48817.597230340834</v>
      </c>
      <c r="AK8" s="49">
        <f t="shared" si="2"/>
        <v>106673.99733398866</v>
      </c>
      <c r="AL8" s="49">
        <f t="shared" si="2"/>
        <v>28784.830681859021</v>
      </c>
      <c r="AM8" s="49">
        <f t="shared" si="2"/>
        <v>40387.082051794227</v>
      </c>
      <c r="AN8" s="49">
        <f t="shared" si="2"/>
        <v>15841.450502539854</v>
      </c>
      <c r="AO8" s="49">
        <f t="shared" si="2"/>
        <v>7141.2532315132021</v>
      </c>
      <c r="AP8" s="49">
        <f t="shared" si="2"/>
        <v>16585.788871897825</v>
      </c>
      <c r="AQ8" s="49">
        <f t="shared" si="2"/>
        <v>194956.35371872122</v>
      </c>
    </row>
    <row r="9" spans="2:53">
      <c r="F9" s="35" t="s">
        <v>151</v>
      </c>
      <c r="I9" s="47" t="s">
        <v>153</v>
      </c>
      <c r="K9">
        <v>2020</v>
      </c>
      <c r="N9">
        <v>-1</v>
      </c>
    </row>
    <row r="10" spans="2:53">
      <c r="F10" t="s">
        <v>156</v>
      </c>
      <c r="I10" t="s">
        <v>155</v>
      </c>
      <c r="K10">
        <v>2020</v>
      </c>
      <c r="N10">
        <v>-1</v>
      </c>
      <c r="U10" s="14"/>
    </row>
    <row r="12" spans="2:53">
      <c r="I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row>
    <row r="13" spans="2:53">
      <c r="I13" s="14"/>
      <c r="N13" s="14"/>
      <c r="O13" s="14" t="s">
        <v>56</v>
      </c>
      <c r="P13" s="14" t="s">
        <v>48</v>
      </c>
      <c r="Q13" s="14" t="s">
        <v>46</v>
      </c>
      <c r="R13" s="14" t="s">
        <v>45</v>
      </c>
      <c r="S13" s="14" t="s">
        <v>43</v>
      </c>
      <c r="T13" s="14" t="s">
        <v>42</v>
      </c>
      <c r="U13" s="14" t="s">
        <v>41</v>
      </c>
      <c r="V13" s="14" t="s">
        <v>40</v>
      </c>
      <c r="W13" s="14" t="s">
        <v>39</v>
      </c>
      <c r="X13" s="14" t="s">
        <v>38</v>
      </c>
      <c r="Y13" s="14" t="s">
        <v>37</v>
      </c>
      <c r="Z13" s="14" t="s">
        <v>36</v>
      </c>
      <c r="AA13" s="14" t="s">
        <v>35</v>
      </c>
      <c r="AB13" s="14" t="s">
        <v>34</v>
      </c>
      <c r="AC13" s="14" t="s">
        <v>33</v>
      </c>
      <c r="AD13" s="14" t="s">
        <v>32</v>
      </c>
      <c r="AE13" s="14" t="s">
        <v>30</v>
      </c>
      <c r="AF13" s="14" t="s">
        <v>28</v>
      </c>
      <c r="AG13" s="14" t="s">
        <v>27</v>
      </c>
      <c r="AH13" s="14" t="s">
        <v>26</v>
      </c>
      <c r="AI13" s="14" t="s">
        <v>23</v>
      </c>
      <c r="AJ13" s="14" t="s">
        <v>22</v>
      </c>
      <c r="AK13" s="14" t="s">
        <v>20</v>
      </c>
      <c r="AL13" s="14" t="s">
        <v>19</v>
      </c>
      <c r="AM13" s="14" t="s">
        <v>18</v>
      </c>
      <c r="AN13" s="14" t="s">
        <v>16</v>
      </c>
      <c r="AO13" s="14" t="s">
        <v>15</v>
      </c>
      <c r="AP13" s="14" t="s">
        <v>14</v>
      </c>
      <c r="AQ13" s="14" t="s">
        <v>13</v>
      </c>
    </row>
    <row r="14" spans="2:53">
      <c r="I14" s="10" t="s">
        <v>57</v>
      </c>
      <c r="N14" s="14"/>
      <c r="P14" s="13">
        <v>-0.36</v>
      </c>
      <c r="Q14" s="13">
        <v>-0.35</v>
      </c>
      <c r="R14" s="13">
        <v>0</v>
      </c>
      <c r="S14" s="13">
        <v>-0.24</v>
      </c>
      <c r="T14" s="13">
        <v>-0.14000000000000001</v>
      </c>
      <c r="U14" s="13">
        <v>-0.38</v>
      </c>
      <c r="V14" s="13">
        <v>-0.39</v>
      </c>
      <c r="W14" s="13">
        <v>-0.13</v>
      </c>
      <c r="X14" s="13">
        <v>-0.16</v>
      </c>
      <c r="Y14" s="13">
        <v>-0.26</v>
      </c>
      <c r="Z14" s="13">
        <v>-0.39</v>
      </c>
      <c r="AA14" s="13">
        <v>-0.37</v>
      </c>
      <c r="AB14" s="13">
        <v>-7.0000000000000007E-2</v>
      </c>
      <c r="AC14" s="13">
        <v>-7.0000000000000007E-2</v>
      </c>
      <c r="AD14" s="13">
        <v>-0.3</v>
      </c>
      <c r="AE14" s="13">
        <v>-0.33</v>
      </c>
      <c r="AF14" s="13">
        <v>-0.09</v>
      </c>
      <c r="AG14" s="13">
        <v>-0.4</v>
      </c>
      <c r="AH14" s="13">
        <v>-0.06</v>
      </c>
      <c r="AI14" s="13">
        <v>-0.19</v>
      </c>
      <c r="AJ14" s="13">
        <v>-0.36</v>
      </c>
      <c r="AK14" s="13">
        <v>-7.0000000000000007E-2</v>
      </c>
      <c r="AL14" s="13">
        <v>-0.17</v>
      </c>
      <c r="AM14" s="13">
        <v>-0.02</v>
      </c>
      <c r="AN14" s="13">
        <v>-0.4</v>
      </c>
      <c r="AO14" s="13">
        <v>-0.15</v>
      </c>
      <c r="AP14" s="13">
        <v>-0.12</v>
      </c>
      <c r="AQ14" s="13">
        <v>-0.37</v>
      </c>
    </row>
    <row r="15" spans="2:53">
      <c r="H15" s="164" t="s">
        <v>55</v>
      </c>
      <c r="I15" s="11" t="s">
        <v>58</v>
      </c>
      <c r="P15" s="13">
        <v>0.02</v>
      </c>
      <c r="Q15" s="13">
        <v>0.02</v>
      </c>
      <c r="R15" s="14"/>
      <c r="S15" s="14"/>
      <c r="T15" s="14"/>
      <c r="U15" s="14"/>
      <c r="V15" s="13">
        <v>0.02</v>
      </c>
      <c r="W15" s="14"/>
      <c r="X15" s="14"/>
      <c r="Y15" s="14"/>
      <c r="Z15" s="13">
        <v>0.02</v>
      </c>
      <c r="AA15" s="14"/>
      <c r="AB15" s="14"/>
      <c r="AC15" s="14"/>
      <c r="AD15" s="13">
        <v>0.04</v>
      </c>
      <c r="AE15" s="14"/>
      <c r="AF15" s="14"/>
      <c r="AG15" s="13">
        <v>0.04</v>
      </c>
      <c r="AH15" s="14"/>
      <c r="AI15" s="13">
        <v>0.02</v>
      </c>
      <c r="AJ15" s="13">
        <v>0.02</v>
      </c>
      <c r="AK15" s="14"/>
      <c r="AL15" s="14"/>
      <c r="AM15" s="14"/>
      <c r="AN15" s="13">
        <v>0.02</v>
      </c>
      <c r="AO15" s="14"/>
      <c r="AP15" s="14"/>
    </row>
    <row r="16" spans="2:53" ht="30">
      <c r="H16" s="164"/>
      <c r="I16" s="11" t="s">
        <v>59</v>
      </c>
      <c r="P16" s="12">
        <v>4.0000000000000001E-3</v>
      </c>
      <c r="Q16" s="12">
        <v>5.0000000000000001E-3</v>
      </c>
      <c r="R16" s="12">
        <v>1.4999999999999999E-2</v>
      </c>
      <c r="S16" s="12">
        <v>1.2999999999999999E-2</v>
      </c>
      <c r="T16" s="12">
        <v>4.0000000000000001E-3</v>
      </c>
      <c r="U16" s="12">
        <v>5.0000000000000001E-3</v>
      </c>
      <c r="V16" s="12">
        <v>0.04</v>
      </c>
      <c r="W16" s="12">
        <v>1.7000000000000001E-2</v>
      </c>
      <c r="X16" s="12">
        <v>1.0999999999999999E-2</v>
      </c>
      <c r="Y16" s="12">
        <v>1.2999999999999999E-2</v>
      </c>
      <c r="Z16" s="12">
        <v>1.2999999999999999E-2</v>
      </c>
      <c r="AA16" s="12">
        <v>1.4999999999999999E-2</v>
      </c>
      <c r="AB16" s="12">
        <v>5.0000000000000001E-3</v>
      </c>
      <c r="AC16" s="12">
        <v>5.0000000000000001E-3</v>
      </c>
      <c r="AD16" s="12">
        <v>5.6000000000000001E-2</v>
      </c>
      <c r="AE16" s="12">
        <v>3.0000000000000001E-3</v>
      </c>
      <c r="AF16" s="12">
        <v>0.05</v>
      </c>
      <c r="AG16" s="12">
        <v>2E-3</v>
      </c>
      <c r="AH16" s="12">
        <v>3.7999999999999999E-2</v>
      </c>
      <c r="AI16" s="12">
        <v>3.0000000000000001E-3</v>
      </c>
      <c r="AJ16" s="12">
        <v>1.0999999999999999E-2</v>
      </c>
      <c r="AK16" s="12">
        <v>1.2E-2</v>
      </c>
      <c r="AL16" s="12">
        <v>0.01</v>
      </c>
      <c r="AM16" s="12">
        <v>1.7000000000000001E-2</v>
      </c>
      <c r="AN16" s="12">
        <v>1.0999999999999999E-2</v>
      </c>
      <c r="AO16" s="12">
        <v>1.0999999999999999E-2</v>
      </c>
      <c r="AP16" s="12">
        <v>5.0000000000000001E-3</v>
      </c>
      <c r="AQ16" s="12">
        <v>4.0000000000000001E-3</v>
      </c>
    </row>
    <row r="17" spans="9:43">
      <c r="I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row>
    <row r="18" spans="9:43">
      <c r="I18" s="14"/>
      <c r="N18" s="14"/>
      <c r="O18" s="14"/>
      <c r="P18" s="14"/>
      <c r="Q18" s="14"/>
      <c r="R18" s="14" t="s">
        <v>45</v>
      </c>
      <c r="T18" s="14" t="s">
        <v>42</v>
      </c>
      <c r="W18" s="14" t="s">
        <v>39</v>
      </c>
      <c r="AB18" s="14" t="s">
        <v>34</v>
      </c>
      <c r="AC18" s="14" t="s">
        <v>33</v>
      </c>
      <c r="AE18" s="14"/>
      <c r="AF18" s="14" t="s">
        <v>28</v>
      </c>
      <c r="AG18" s="14"/>
      <c r="AH18" s="14" t="s">
        <v>26</v>
      </c>
      <c r="AI18" s="14"/>
      <c r="AJ18" s="14"/>
      <c r="AK18" s="14" t="s">
        <v>20</v>
      </c>
      <c r="AL18" s="14" t="s">
        <v>19</v>
      </c>
      <c r="AM18" s="14" t="s">
        <v>18</v>
      </c>
      <c r="AN18" s="14"/>
      <c r="AO18" s="14" t="s">
        <v>15</v>
      </c>
      <c r="AP18" s="14" t="s">
        <v>14</v>
      </c>
    </row>
    <row r="19" spans="9:43">
      <c r="I19" s="14"/>
      <c r="N19" s="14" t="s">
        <v>60</v>
      </c>
      <c r="O19" s="14"/>
      <c r="P19" s="14"/>
      <c r="Q19" s="14"/>
      <c r="R19" s="14" t="s">
        <v>61</v>
      </c>
      <c r="T19" s="14" t="s">
        <v>63</v>
      </c>
      <c r="W19" s="14" t="s">
        <v>64</v>
      </c>
      <c r="AB19" s="14" t="s">
        <v>62</v>
      </c>
      <c r="AC19" s="14" t="s">
        <v>65</v>
      </c>
      <c r="AE19" s="14"/>
      <c r="AF19" s="14" t="s">
        <v>67</v>
      </c>
      <c r="AG19" s="14"/>
      <c r="AH19" s="14" t="s">
        <v>66</v>
      </c>
      <c r="AI19" s="14"/>
      <c r="AJ19" s="14"/>
      <c r="AK19" s="14" t="s">
        <v>68</v>
      </c>
      <c r="AL19" s="14" t="s">
        <v>69</v>
      </c>
      <c r="AM19" s="14" t="s">
        <v>70</v>
      </c>
      <c r="AN19" s="14"/>
      <c r="AO19" s="14" t="s">
        <v>72</v>
      </c>
      <c r="AP19" s="14" t="s">
        <v>71</v>
      </c>
    </row>
    <row r="20" spans="9:43">
      <c r="I20" s="14"/>
      <c r="N20" s="14"/>
      <c r="O20" s="14"/>
      <c r="P20" s="14"/>
      <c r="Q20" s="14"/>
      <c r="R20" s="14">
        <v>1602912</v>
      </c>
      <c r="T20" s="14">
        <v>4440079</v>
      </c>
      <c r="W20" s="14">
        <v>145944</v>
      </c>
      <c r="AB20" s="14">
        <v>1148708</v>
      </c>
      <c r="AC20" s="14">
        <v>6705956</v>
      </c>
      <c r="AE20" s="14"/>
      <c r="AF20" s="14">
        <v>2165895</v>
      </c>
      <c r="AG20" s="14"/>
      <c r="AH20" s="14">
        <v>547061</v>
      </c>
      <c r="AI20" s="14"/>
      <c r="AJ20" s="14"/>
      <c r="AK20" s="14">
        <v>7456340</v>
      </c>
      <c r="AL20" s="14">
        <v>1655253</v>
      </c>
      <c r="AM20" s="14">
        <v>10932743</v>
      </c>
      <c r="AN20" s="14"/>
      <c r="AO20" s="14">
        <v>178809</v>
      </c>
      <c r="AP20" s="14">
        <v>2160210</v>
      </c>
    </row>
    <row r="21" spans="9:43">
      <c r="I21" s="14"/>
      <c r="J21" s="14"/>
      <c r="K21" s="14"/>
      <c r="L21" s="14"/>
      <c r="M21" s="14"/>
      <c r="N21" s="14"/>
      <c r="O21" s="14"/>
      <c r="Q21" s="14"/>
      <c r="R21" s="14"/>
      <c r="AA21" s="14"/>
      <c r="AB21" s="14"/>
      <c r="AC21" s="14"/>
      <c r="AD21" s="14"/>
      <c r="AE21" s="14"/>
      <c r="AF21" s="14"/>
      <c r="AG21" s="14"/>
      <c r="AH21" s="14"/>
      <c r="AI21" s="14"/>
      <c r="AJ21" s="14"/>
      <c r="AK21" s="14"/>
      <c r="AL21" s="14"/>
      <c r="AM21" s="14"/>
    </row>
    <row r="22" spans="9:43">
      <c r="I22" s="14"/>
      <c r="J22" s="14"/>
      <c r="K22" s="14"/>
      <c r="L22" s="14"/>
      <c r="M22" s="14"/>
      <c r="N22" s="14"/>
      <c r="O22" s="14"/>
      <c r="Q22" s="14"/>
      <c r="R22" s="14"/>
      <c r="AA22" s="14"/>
      <c r="AB22" s="14"/>
      <c r="AC22" s="14"/>
      <c r="AD22" s="14"/>
      <c r="AE22" s="14"/>
      <c r="AF22" s="14"/>
      <c r="AG22" s="14"/>
      <c r="AH22" s="14"/>
      <c r="AM22" s="14"/>
    </row>
    <row r="23" spans="9:43">
      <c r="I23" s="14"/>
      <c r="J23" s="14"/>
      <c r="K23" s="14"/>
      <c r="L23" s="14"/>
      <c r="M23" s="14"/>
      <c r="N23" s="14"/>
      <c r="O23" s="14"/>
      <c r="Q23" s="14"/>
      <c r="R23" s="14"/>
      <c r="AA23" s="14"/>
      <c r="AB23" s="14"/>
      <c r="AC23" s="14"/>
      <c r="AD23" s="14"/>
      <c r="AE23" s="14"/>
      <c r="AF23" s="14"/>
      <c r="AG23" s="14"/>
      <c r="AH23" s="14"/>
      <c r="AM23" s="14"/>
    </row>
    <row r="24" spans="9:43">
      <c r="I24" s="14"/>
      <c r="J24" s="14"/>
      <c r="K24" s="14"/>
      <c r="L24" s="14"/>
      <c r="M24" s="14"/>
      <c r="N24" s="113" t="s">
        <v>737</v>
      </c>
      <c r="O24" s="14"/>
      <c r="P24" s="14"/>
      <c r="Q24" s="14"/>
      <c r="R24" s="14"/>
      <c r="S24" s="14"/>
      <c r="T24" s="14"/>
      <c r="U24" s="14"/>
      <c r="V24" s="14"/>
      <c r="W24" s="14"/>
      <c r="X24" s="14"/>
      <c r="Y24" s="14"/>
      <c r="Z24" s="14"/>
      <c r="AA24" s="14"/>
      <c r="AB24" s="14"/>
      <c r="AC24" s="14"/>
      <c r="AD24" s="14"/>
      <c r="AE24" s="14"/>
      <c r="AF24" s="14"/>
      <c r="AG24" s="14"/>
      <c r="AH24" s="14"/>
      <c r="AM24" s="14"/>
    </row>
    <row r="25" spans="9:43">
      <c r="N25" t="s">
        <v>738</v>
      </c>
    </row>
    <row r="26" spans="9:43">
      <c r="N26" s="113" t="s">
        <v>739</v>
      </c>
    </row>
    <row r="27" spans="9:43">
      <c r="N27" s="113"/>
      <c r="O27" s="113" t="s">
        <v>265</v>
      </c>
      <c r="P27" s="113" t="s">
        <v>48</v>
      </c>
      <c r="Q27" s="113" t="s">
        <v>46</v>
      </c>
      <c r="R27" s="113" t="s">
        <v>45</v>
      </c>
      <c r="S27" s="113" t="s">
        <v>34</v>
      </c>
      <c r="T27" s="113" t="s">
        <v>43</v>
      </c>
      <c r="U27" s="113" t="s">
        <v>42</v>
      </c>
      <c r="V27" s="113" t="s">
        <v>40</v>
      </c>
      <c r="W27" s="113" t="s">
        <v>39</v>
      </c>
      <c r="X27" s="113" t="s">
        <v>36</v>
      </c>
      <c r="Y27" s="113" t="s">
        <v>35</v>
      </c>
      <c r="Z27" s="113" t="s">
        <v>41</v>
      </c>
      <c r="AA27" s="113" t="s">
        <v>38</v>
      </c>
      <c r="AB27" s="113" t="s">
        <v>33</v>
      </c>
      <c r="AC27" s="113" t="s">
        <v>32</v>
      </c>
      <c r="AD27" s="113" t="s">
        <v>30</v>
      </c>
      <c r="AE27" s="113" t="s">
        <v>26</v>
      </c>
      <c r="AF27" s="113" t="s">
        <v>28</v>
      </c>
      <c r="AG27" s="113" t="s">
        <v>27</v>
      </c>
      <c r="AH27" s="113" t="s">
        <v>23</v>
      </c>
      <c r="AI27" s="113" t="s">
        <v>22</v>
      </c>
      <c r="AJ27" s="113" t="s">
        <v>20</v>
      </c>
      <c r="AK27" s="113" t="s">
        <v>19</v>
      </c>
      <c r="AL27" s="113" t="s">
        <v>18</v>
      </c>
      <c r="AM27" s="113" t="s">
        <v>14</v>
      </c>
      <c r="AN27" s="113" t="s">
        <v>15</v>
      </c>
      <c r="AO27" s="113" t="s">
        <v>37</v>
      </c>
      <c r="AP27" s="113" t="s">
        <v>16</v>
      </c>
      <c r="AQ27" s="113" t="s">
        <v>13</v>
      </c>
    </row>
    <row r="28" spans="9:43">
      <c r="N28" s="113"/>
      <c r="O28" s="113" t="s">
        <v>265</v>
      </c>
      <c r="P28" s="113" t="s">
        <v>120</v>
      </c>
      <c r="Q28" s="113" t="s">
        <v>108</v>
      </c>
      <c r="R28" s="113" t="s">
        <v>61</v>
      </c>
      <c r="S28" s="113" t="s">
        <v>62</v>
      </c>
      <c r="T28" s="113" t="s">
        <v>116</v>
      </c>
      <c r="U28" s="113" t="s">
        <v>63</v>
      </c>
      <c r="V28" s="113" t="s">
        <v>109</v>
      </c>
      <c r="W28" s="113" t="s">
        <v>64</v>
      </c>
      <c r="X28" s="113" t="s">
        <v>121</v>
      </c>
      <c r="Y28" s="113" t="s">
        <v>114</v>
      </c>
      <c r="Z28" s="113" t="s">
        <v>110</v>
      </c>
      <c r="AA28" s="113" t="s">
        <v>112</v>
      </c>
      <c r="AB28" s="113" t="s">
        <v>65</v>
      </c>
      <c r="AC28" s="113" t="s">
        <v>111</v>
      </c>
      <c r="AD28" s="113" t="s">
        <v>115</v>
      </c>
      <c r="AE28" s="113" t="s">
        <v>66</v>
      </c>
      <c r="AF28" s="113" t="s">
        <v>67</v>
      </c>
      <c r="AG28" s="113" t="s">
        <v>117</v>
      </c>
      <c r="AH28" s="113" t="s">
        <v>118</v>
      </c>
      <c r="AI28" s="113" t="s">
        <v>119</v>
      </c>
      <c r="AJ28" s="113" t="s">
        <v>68</v>
      </c>
      <c r="AK28" s="113" t="s">
        <v>69</v>
      </c>
      <c r="AL28" s="113" t="s">
        <v>70</v>
      </c>
      <c r="AM28" s="113" t="s">
        <v>71</v>
      </c>
      <c r="AN28" s="113" t="s">
        <v>72</v>
      </c>
      <c r="AO28" s="113" t="s">
        <v>113</v>
      </c>
      <c r="AP28" s="113" t="s">
        <v>122</v>
      </c>
      <c r="AQ28" s="113" t="s">
        <v>123</v>
      </c>
    </row>
    <row r="29" spans="9:43">
      <c r="N29" s="113">
        <v>2005</v>
      </c>
      <c r="O29" s="49">
        <f t="shared" ref="O29:O34" si="3">SUM(P29:AQ29)</f>
        <v>1951.763917535106</v>
      </c>
      <c r="P29" s="49">
        <v>45.521159429919649</v>
      </c>
      <c r="Q29" s="49">
        <v>60.369683791666759</v>
      </c>
      <c r="R29" s="49">
        <v>14.564470742395979</v>
      </c>
      <c r="S29" s="49">
        <v>11.185806385783398</v>
      </c>
      <c r="T29" s="49">
        <v>2.8914039267326253</v>
      </c>
      <c r="U29" s="49">
        <v>43.384837409308837</v>
      </c>
      <c r="V29" s="49">
        <v>22.955457534476235</v>
      </c>
      <c r="W29" s="49">
        <v>3.2005419556946721</v>
      </c>
      <c r="X29" s="49">
        <v>23.670800717609271</v>
      </c>
      <c r="Y29" s="49">
        <v>254.53328351537331</v>
      </c>
      <c r="Z29" s="49">
        <v>348.45442972226101</v>
      </c>
      <c r="AA29" s="49">
        <v>39.323633333718419</v>
      </c>
      <c r="AB29" s="49">
        <v>32.596968850241964</v>
      </c>
      <c r="AC29" s="49">
        <v>24.705378067291591</v>
      </c>
      <c r="AD29" s="49">
        <v>241.57533751522891</v>
      </c>
      <c r="AE29" s="49">
        <v>4.8944312165381891</v>
      </c>
      <c r="AF29" s="49">
        <v>6.2033761860510772</v>
      </c>
      <c r="AG29" s="49">
        <v>9.009047339004784</v>
      </c>
      <c r="AH29" s="49">
        <v>0.66701874466909727</v>
      </c>
      <c r="AI29" s="49">
        <v>86.764010826863924</v>
      </c>
      <c r="AJ29" s="49">
        <v>110.4987105059939</v>
      </c>
      <c r="AK29" s="49">
        <v>31.507949565473599</v>
      </c>
      <c r="AL29" s="49">
        <v>32.864418376888921</v>
      </c>
      <c r="AM29" s="49">
        <v>17.594726348450617</v>
      </c>
      <c r="AN29" s="49">
        <v>7.9608398095340256</v>
      </c>
      <c r="AO29" s="49">
        <v>162.12245733686458</v>
      </c>
      <c r="AP29" s="49">
        <v>30.282470616192892</v>
      </c>
      <c r="AQ29" s="49">
        <v>282.46126776487768</v>
      </c>
    </row>
    <row r="30" spans="9:43">
      <c r="N30" s="113">
        <v>2010</v>
      </c>
      <c r="O30" s="49">
        <f t="shared" si="3"/>
        <v>1857.2425773926948</v>
      </c>
      <c r="P30" s="49">
        <v>41.725964188376317</v>
      </c>
      <c r="Q30" s="49">
        <v>59.142075348884248</v>
      </c>
      <c r="R30" s="49">
        <v>13.482898325768595</v>
      </c>
      <c r="S30" s="49">
        <v>11.031647155283293</v>
      </c>
      <c r="T30" s="49">
        <v>2.9623409013403696</v>
      </c>
      <c r="U30" s="49">
        <v>40.234537266457153</v>
      </c>
      <c r="V30" s="49">
        <v>22.323631079058273</v>
      </c>
      <c r="W30" s="49">
        <v>3.0110828417995688</v>
      </c>
      <c r="X30" s="49">
        <v>23.704898946349982</v>
      </c>
      <c r="Y30" s="49">
        <v>239.61881846487773</v>
      </c>
      <c r="Z30" s="49">
        <v>338.48232895338236</v>
      </c>
      <c r="AA30" s="49">
        <v>34.344444202443981</v>
      </c>
      <c r="AB30" s="49">
        <v>27.15335468803692</v>
      </c>
      <c r="AC30" s="49">
        <v>23.445353201658079</v>
      </c>
      <c r="AD30" s="49">
        <v>214.75641665025358</v>
      </c>
      <c r="AE30" s="49">
        <v>5.2431803893780362</v>
      </c>
      <c r="AF30" s="49">
        <v>6.200110822366681</v>
      </c>
      <c r="AG30" s="49">
        <v>8.5568879121682784</v>
      </c>
      <c r="AH30" s="49">
        <v>0.64075927996702542</v>
      </c>
      <c r="AI30" s="49">
        <v>88.436357395662327</v>
      </c>
      <c r="AJ30" s="49">
        <v>131.47620960717586</v>
      </c>
      <c r="AK30" s="49">
        <v>27.574459689958069</v>
      </c>
      <c r="AL30" s="49">
        <v>29.882492568561382</v>
      </c>
      <c r="AM30" s="49">
        <v>18.129878935129799</v>
      </c>
      <c r="AN30" s="49">
        <v>7.9793362167861392</v>
      </c>
      <c r="AO30" s="49">
        <v>148.67638374509588</v>
      </c>
      <c r="AP30" s="49">
        <v>27.638305341628236</v>
      </c>
      <c r="AQ30" s="49">
        <v>261.38842327484662</v>
      </c>
    </row>
    <row r="31" spans="9:43">
      <c r="N31" s="113">
        <v>2015</v>
      </c>
      <c r="O31" s="49">
        <f t="shared" si="3"/>
        <v>1751.0288491839492</v>
      </c>
      <c r="P31" s="49">
        <v>38.333732034877322</v>
      </c>
      <c r="Q31" s="49">
        <v>56.285325705937197</v>
      </c>
      <c r="R31" s="49">
        <v>13.194354164394966</v>
      </c>
      <c r="S31" s="49">
        <v>10.099304549321133</v>
      </c>
      <c r="T31" s="49">
        <v>2.5892424081432077</v>
      </c>
      <c r="U31" s="49">
        <v>39.712392335837677</v>
      </c>
      <c r="V31" s="49">
        <v>19.191014309324842</v>
      </c>
      <c r="W31" s="49">
        <v>3.1970475948378092</v>
      </c>
      <c r="X31" s="49">
        <v>20.246874409680274</v>
      </c>
      <c r="Y31" s="49">
        <v>226.94999956621052</v>
      </c>
      <c r="Z31" s="49">
        <v>324.14872420927134</v>
      </c>
      <c r="AA31" s="49">
        <v>29.197742896230224</v>
      </c>
      <c r="AB31" s="49">
        <v>26.123462670980935</v>
      </c>
      <c r="AC31" s="49">
        <v>21.132736840210256</v>
      </c>
      <c r="AD31" s="49">
        <v>203.69646660635419</v>
      </c>
      <c r="AE31" s="49">
        <v>4.8251251465779399</v>
      </c>
      <c r="AF31" s="49">
        <v>6.1160645189432321</v>
      </c>
      <c r="AG31" s="49">
        <v>8.4961246981829266</v>
      </c>
      <c r="AH31" s="49">
        <v>0.65194669258362592</v>
      </c>
      <c r="AI31" s="49">
        <v>84.360542882420901</v>
      </c>
      <c r="AJ31" s="49">
        <v>126.3354096986635</v>
      </c>
      <c r="AK31" s="49">
        <v>23.959913447336717</v>
      </c>
      <c r="AL31" s="49">
        <v>32.309527826696417</v>
      </c>
      <c r="AM31" s="49">
        <v>16.918781120962919</v>
      </c>
      <c r="AN31" s="49">
        <v>7.2827457478213899</v>
      </c>
      <c r="AO31" s="49">
        <v>131.0763990835693</v>
      </c>
      <c r="AP31" s="49">
        <v>24.116226120775718</v>
      </c>
      <c r="AQ31" s="49">
        <v>250.48162189780288</v>
      </c>
    </row>
    <row r="32" spans="9:43">
      <c r="N32" s="113">
        <v>2020</v>
      </c>
      <c r="O32" s="49">
        <f t="shared" si="3"/>
        <v>1583.6403082920128</v>
      </c>
      <c r="P32" s="49">
        <v>35.50757650147753</v>
      </c>
      <c r="Q32" s="49">
        <v>50.278636108410915</v>
      </c>
      <c r="R32" s="49">
        <v>12.367599491915882</v>
      </c>
      <c r="S32" s="49">
        <v>9.4535342872002879</v>
      </c>
      <c r="T32" s="49">
        <v>2.328827455131111</v>
      </c>
      <c r="U32" s="49">
        <v>37.488566831102716</v>
      </c>
      <c r="V32" s="49">
        <v>17.152540788652814</v>
      </c>
      <c r="W32" s="49">
        <v>2.8057001402892663</v>
      </c>
      <c r="X32" s="49">
        <v>17.765435182925565</v>
      </c>
      <c r="Y32" s="49">
        <v>201.16458736242924</v>
      </c>
      <c r="Z32" s="49">
        <v>286.23395587080989</v>
      </c>
      <c r="AA32" s="49">
        <v>25.642417269288245</v>
      </c>
      <c r="AB32" s="49">
        <v>24.855851500371347</v>
      </c>
      <c r="AC32" s="49">
        <v>19.288337498230938</v>
      </c>
      <c r="AD32" s="49">
        <v>187.83613272674825</v>
      </c>
      <c r="AE32" s="49">
        <v>4.4357582395211725</v>
      </c>
      <c r="AF32" s="49">
        <v>6.0008482664341543</v>
      </c>
      <c r="AG32" s="49">
        <v>8.1298232204200431</v>
      </c>
      <c r="AH32" s="49">
        <v>0.59416184694028162</v>
      </c>
      <c r="AI32" s="49">
        <v>77.159644030938196</v>
      </c>
      <c r="AJ32" s="49">
        <v>121.74620023312826</v>
      </c>
      <c r="AK32" s="49">
        <v>21.872634264509372</v>
      </c>
      <c r="AL32" s="49">
        <v>31.334696469994526</v>
      </c>
      <c r="AM32" s="49">
        <v>16.504087066357648</v>
      </c>
      <c r="AN32" s="49">
        <v>6.8402948287848266</v>
      </c>
      <c r="AO32" s="49">
        <v>115.6115279107925</v>
      </c>
      <c r="AP32" s="49">
        <v>21.096417068662234</v>
      </c>
      <c r="AQ32" s="49">
        <v>222.14451583054563</v>
      </c>
    </row>
    <row r="33" spans="14:43">
      <c r="N33" s="113">
        <v>2025</v>
      </c>
      <c r="O33" s="49">
        <f t="shared" si="3"/>
        <v>1458.9583161434821</v>
      </c>
      <c r="P33" s="49">
        <v>31.534839076945055</v>
      </c>
      <c r="Q33" s="49">
        <v>43.279818047535215</v>
      </c>
      <c r="R33" s="49">
        <v>15.543608285945981</v>
      </c>
      <c r="S33" s="49">
        <v>10.770762594980276</v>
      </c>
      <c r="T33" s="49">
        <v>2.0798375637862527</v>
      </c>
      <c r="U33" s="49">
        <v>38.324481074712892</v>
      </c>
      <c r="V33" s="49">
        <v>13.657380365550123</v>
      </c>
      <c r="W33" s="49">
        <v>2.7771363977382411</v>
      </c>
      <c r="X33" s="49">
        <v>15.302055135173365</v>
      </c>
      <c r="Y33" s="49">
        <v>170.16420418919702</v>
      </c>
      <c r="Z33" s="49">
        <v>245.94115807989007</v>
      </c>
      <c r="AA33" s="49">
        <v>32.107653806570738</v>
      </c>
      <c r="AB33" s="49">
        <v>29.516051865198122</v>
      </c>
      <c r="AC33" s="49">
        <v>14.218466190600964</v>
      </c>
      <c r="AD33" s="49">
        <v>173.33843508065317</v>
      </c>
      <c r="AE33" s="49">
        <v>4.6587688438321262</v>
      </c>
      <c r="AF33" s="49">
        <v>6.1523231141785981</v>
      </c>
      <c r="AG33" s="49">
        <v>6.5571255256100365</v>
      </c>
      <c r="AH33" s="49">
        <v>0.57003531462861501</v>
      </c>
      <c r="AI33" s="49">
        <v>63.284865103282911</v>
      </c>
      <c r="AJ33" s="49">
        <v>114.38714417098596</v>
      </c>
      <c r="AK33" s="49">
        <v>24.846777758449601</v>
      </c>
      <c r="AL33" s="49">
        <v>35.314473910984034</v>
      </c>
      <c r="AM33" s="49">
        <v>16.493257458336089</v>
      </c>
      <c r="AN33" s="49">
        <v>7.0027041590811638</v>
      </c>
      <c r="AO33" s="49">
        <v>115.06166190814803</v>
      </c>
      <c r="AP33" s="49">
        <v>18.552228250233046</v>
      </c>
      <c r="AQ33" s="49">
        <v>207.52106287125417</v>
      </c>
    </row>
    <row r="34" spans="14:43">
      <c r="N34" s="113">
        <v>2030</v>
      </c>
      <c r="O34" s="49">
        <f t="shared" si="3"/>
        <v>1338.4365779999498</v>
      </c>
      <c r="P34" s="49">
        <v>27.972177729036488</v>
      </c>
      <c r="Q34" s="49">
        <v>36.073584195042912</v>
      </c>
      <c r="R34" s="49">
        <v>18.454432068387778</v>
      </c>
      <c r="S34" s="49">
        <v>12.001800195392459</v>
      </c>
      <c r="T34" s="49">
        <v>1.8883820696885949</v>
      </c>
      <c r="U34" s="49">
        <v>40.01312239578737</v>
      </c>
      <c r="V34" s="49">
        <v>10.237207425301939</v>
      </c>
      <c r="W34" s="49">
        <v>2.910928276864015</v>
      </c>
      <c r="X34" s="49">
        <v>12.79020070981597</v>
      </c>
      <c r="Y34" s="49">
        <v>138.26081911462552</v>
      </c>
      <c r="Z34" s="49">
        <v>207.57272785462436</v>
      </c>
      <c r="AA34" s="49">
        <v>38.427526098691935</v>
      </c>
      <c r="AB34" s="49">
        <v>34.178701945057696</v>
      </c>
      <c r="AC34" s="49">
        <v>9.6144335140693933</v>
      </c>
      <c r="AD34" s="49">
        <v>157.68546704212861</v>
      </c>
      <c r="AE34" s="49">
        <v>4.883816357686781</v>
      </c>
      <c r="AF34" s="49">
        <v>6.2647011260203431</v>
      </c>
      <c r="AG34" s="49">
        <v>4.9959152288881308</v>
      </c>
      <c r="AH34" s="49">
        <v>0.54877696622876793</v>
      </c>
      <c r="AI34" s="49">
        <v>48.817597230340837</v>
      </c>
      <c r="AJ34" s="49">
        <v>106.67399733398867</v>
      </c>
      <c r="AK34" s="49">
        <v>28.78483068185902</v>
      </c>
      <c r="AL34" s="49">
        <v>40.387082051794224</v>
      </c>
      <c r="AM34" s="49">
        <v>16.585788871897826</v>
      </c>
      <c r="AN34" s="49">
        <v>7.1412532315132022</v>
      </c>
      <c r="AO34" s="49">
        <v>114.47350406395591</v>
      </c>
      <c r="AP34" s="49">
        <v>15.841450502539853</v>
      </c>
      <c r="AQ34" s="49">
        <v>194.95635371872123</v>
      </c>
    </row>
    <row r="36" spans="14:43" ht="15.75" thickBot="1">
      <c r="P36" s="16" t="s">
        <v>48</v>
      </c>
      <c r="Q36" s="16" t="s">
        <v>46</v>
      </c>
      <c r="R36" s="16" t="s">
        <v>45</v>
      </c>
      <c r="S36" s="16" t="s">
        <v>43</v>
      </c>
      <c r="T36" s="16" t="s">
        <v>42</v>
      </c>
      <c r="U36" s="16" t="s">
        <v>41</v>
      </c>
      <c r="V36" s="16" t="s">
        <v>40</v>
      </c>
      <c r="W36" s="16" t="s">
        <v>39</v>
      </c>
      <c r="X36" s="16" t="s">
        <v>38</v>
      </c>
      <c r="Y36" s="16" t="s">
        <v>37</v>
      </c>
      <c r="Z36" s="16" t="s">
        <v>36</v>
      </c>
      <c r="AA36" s="16" t="s">
        <v>35</v>
      </c>
      <c r="AB36" s="16" t="s">
        <v>34</v>
      </c>
      <c r="AC36" s="16" t="s">
        <v>33</v>
      </c>
      <c r="AD36" s="16" t="s">
        <v>32</v>
      </c>
      <c r="AE36" s="16" t="s">
        <v>30</v>
      </c>
      <c r="AF36" s="16" t="s">
        <v>28</v>
      </c>
      <c r="AG36" s="16" t="s">
        <v>27</v>
      </c>
      <c r="AH36" s="16" t="s">
        <v>26</v>
      </c>
      <c r="AI36" s="16" t="s">
        <v>23</v>
      </c>
      <c r="AJ36" s="16" t="s">
        <v>22</v>
      </c>
      <c r="AK36" s="16" t="s">
        <v>20</v>
      </c>
      <c r="AL36" s="16" t="s">
        <v>19</v>
      </c>
      <c r="AM36" s="16" t="s">
        <v>18</v>
      </c>
      <c r="AN36" s="16" t="s">
        <v>16</v>
      </c>
      <c r="AO36" s="16" t="s">
        <v>15</v>
      </c>
      <c r="AP36" s="16" t="s">
        <v>14</v>
      </c>
      <c r="AQ36" s="16" t="s">
        <v>13</v>
      </c>
    </row>
    <row r="37" spans="14:43">
      <c r="N37" s="113">
        <v>2005</v>
      </c>
      <c r="O37" s="49">
        <f t="shared" ref="O37:O42" si="4">SUM(P37:AQ37)</f>
        <v>1951.7639175351064</v>
      </c>
      <c r="P37" s="49">
        <f>HLOOKUP(P$36,$P$27:$AQ$34,3,0)</f>
        <v>45.521159429919649</v>
      </c>
      <c r="Q37" s="49">
        <f t="shared" ref="Q37:AQ37" si="5">HLOOKUP(Q$36,$P$27:$AQ$34,3,0)</f>
        <v>60.369683791666759</v>
      </c>
      <c r="R37" s="49">
        <f t="shared" si="5"/>
        <v>14.564470742395979</v>
      </c>
      <c r="S37" s="49">
        <f t="shared" si="5"/>
        <v>2.8914039267326253</v>
      </c>
      <c r="T37" s="49">
        <f t="shared" si="5"/>
        <v>43.384837409308837</v>
      </c>
      <c r="U37" s="49">
        <f t="shared" si="5"/>
        <v>348.45442972226101</v>
      </c>
      <c r="V37" s="49">
        <f t="shared" si="5"/>
        <v>22.955457534476235</v>
      </c>
      <c r="W37" s="49">
        <f t="shared" si="5"/>
        <v>3.2005419556946721</v>
      </c>
      <c r="X37" s="49">
        <f t="shared" si="5"/>
        <v>39.323633333718419</v>
      </c>
      <c r="Y37" s="49">
        <f t="shared" si="5"/>
        <v>162.12245733686458</v>
      </c>
      <c r="Z37" s="49">
        <f t="shared" si="5"/>
        <v>23.670800717609271</v>
      </c>
      <c r="AA37" s="49">
        <f t="shared" si="5"/>
        <v>254.53328351537331</v>
      </c>
      <c r="AB37" s="49">
        <f t="shared" si="5"/>
        <v>11.185806385783398</v>
      </c>
      <c r="AC37" s="49">
        <f t="shared" si="5"/>
        <v>32.596968850241964</v>
      </c>
      <c r="AD37" s="49">
        <f t="shared" si="5"/>
        <v>24.705378067291591</v>
      </c>
      <c r="AE37" s="49">
        <f t="shared" si="5"/>
        <v>241.57533751522891</v>
      </c>
      <c r="AF37" s="49">
        <f t="shared" si="5"/>
        <v>6.2033761860510772</v>
      </c>
      <c r="AG37" s="49">
        <f t="shared" si="5"/>
        <v>9.009047339004784</v>
      </c>
      <c r="AH37" s="49">
        <f t="shared" si="5"/>
        <v>4.8944312165381891</v>
      </c>
      <c r="AI37" s="49">
        <f t="shared" si="5"/>
        <v>0.66701874466909727</v>
      </c>
      <c r="AJ37" s="49">
        <f t="shared" si="5"/>
        <v>86.764010826863924</v>
      </c>
      <c r="AK37" s="49">
        <f t="shared" si="5"/>
        <v>110.4987105059939</v>
      </c>
      <c r="AL37" s="49">
        <f t="shared" si="5"/>
        <v>31.507949565473599</v>
      </c>
      <c r="AM37" s="49">
        <f t="shared" si="5"/>
        <v>32.864418376888921</v>
      </c>
      <c r="AN37" s="49">
        <f t="shared" si="5"/>
        <v>30.282470616192892</v>
      </c>
      <c r="AO37" s="49">
        <f t="shared" si="5"/>
        <v>7.9608398095340256</v>
      </c>
      <c r="AP37" s="49">
        <f t="shared" si="5"/>
        <v>17.594726348450617</v>
      </c>
      <c r="AQ37" s="49">
        <f t="shared" si="5"/>
        <v>282.46126776487768</v>
      </c>
    </row>
    <row r="38" spans="14:43">
      <c r="N38" s="113">
        <v>2010</v>
      </c>
      <c r="O38" s="49">
        <f t="shared" si="4"/>
        <v>1857.2425773926948</v>
      </c>
      <c r="P38" s="49">
        <f>HLOOKUP(P$36,$P$27:$AQ$34,4,0)</f>
        <v>41.725964188376317</v>
      </c>
      <c r="Q38" s="49">
        <f t="shared" ref="Q38:AQ38" si="6">HLOOKUP(Q$36,$P$27:$AQ$34,4,0)</f>
        <v>59.142075348884248</v>
      </c>
      <c r="R38" s="49">
        <f t="shared" si="6"/>
        <v>13.482898325768595</v>
      </c>
      <c r="S38" s="49">
        <f t="shared" si="6"/>
        <v>2.9623409013403696</v>
      </c>
      <c r="T38" s="49">
        <f t="shared" si="6"/>
        <v>40.234537266457153</v>
      </c>
      <c r="U38" s="49">
        <f t="shared" si="6"/>
        <v>338.48232895338236</v>
      </c>
      <c r="V38" s="49">
        <f t="shared" si="6"/>
        <v>22.323631079058273</v>
      </c>
      <c r="W38" s="49">
        <f t="shared" si="6"/>
        <v>3.0110828417995688</v>
      </c>
      <c r="X38" s="49">
        <f t="shared" si="6"/>
        <v>34.344444202443981</v>
      </c>
      <c r="Y38" s="49">
        <f t="shared" si="6"/>
        <v>148.67638374509588</v>
      </c>
      <c r="Z38" s="49">
        <f t="shared" si="6"/>
        <v>23.704898946349982</v>
      </c>
      <c r="AA38" s="49">
        <f t="shared" si="6"/>
        <v>239.61881846487773</v>
      </c>
      <c r="AB38" s="49">
        <f t="shared" si="6"/>
        <v>11.031647155283293</v>
      </c>
      <c r="AC38" s="49">
        <f t="shared" si="6"/>
        <v>27.15335468803692</v>
      </c>
      <c r="AD38" s="49">
        <f t="shared" si="6"/>
        <v>23.445353201658079</v>
      </c>
      <c r="AE38" s="49">
        <f t="shared" si="6"/>
        <v>214.75641665025358</v>
      </c>
      <c r="AF38" s="49">
        <f t="shared" si="6"/>
        <v>6.200110822366681</v>
      </c>
      <c r="AG38" s="49">
        <f t="shared" si="6"/>
        <v>8.5568879121682784</v>
      </c>
      <c r="AH38" s="49">
        <f t="shared" si="6"/>
        <v>5.2431803893780362</v>
      </c>
      <c r="AI38" s="49">
        <f t="shared" si="6"/>
        <v>0.64075927996702542</v>
      </c>
      <c r="AJ38" s="49">
        <f t="shared" si="6"/>
        <v>88.436357395662327</v>
      </c>
      <c r="AK38" s="49">
        <f t="shared" si="6"/>
        <v>131.47620960717586</v>
      </c>
      <c r="AL38" s="49">
        <f t="shared" si="6"/>
        <v>27.574459689958069</v>
      </c>
      <c r="AM38" s="49">
        <f t="shared" si="6"/>
        <v>29.882492568561382</v>
      </c>
      <c r="AN38" s="49">
        <f t="shared" si="6"/>
        <v>27.638305341628236</v>
      </c>
      <c r="AO38" s="49">
        <f t="shared" si="6"/>
        <v>7.9793362167861392</v>
      </c>
      <c r="AP38" s="49">
        <f t="shared" si="6"/>
        <v>18.129878935129799</v>
      </c>
      <c r="AQ38" s="49">
        <f t="shared" si="6"/>
        <v>261.38842327484662</v>
      </c>
    </row>
    <row r="39" spans="14:43">
      <c r="N39" s="113">
        <v>2015</v>
      </c>
      <c r="O39" s="49">
        <f t="shared" si="4"/>
        <v>1751.028849183949</v>
      </c>
      <c r="P39" s="49">
        <f>HLOOKUP(P$36,$P$27:$AQ$34,5,0)</f>
        <v>38.333732034877322</v>
      </c>
      <c r="Q39" s="49">
        <f t="shared" ref="Q39:AQ39" si="7">HLOOKUP(Q$36,$P$27:$AQ$34,5,0)</f>
        <v>56.285325705937197</v>
      </c>
      <c r="R39" s="49">
        <f t="shared" si="7"/>
        <v>13.194354164394966</v>
      </c>
      <c r="S39" s="49">
        <f t="shared" si="7"/>
        <v>2.5892424081432077</v>
      </c>
      <c r="T39" s="49">
        <f t="shared" si="7"/>
        <v>39.712392335837677</v>
      </c>
      <c r="U39" s="49">
        <f t="shared" si="7"/>
        <v>324.14872420927134</v>
      </c>
      <c r="V39" s="49">
        <f t="shared" si="7"/>
        <v>19.191014309324842</v>
      </c>
      <c r="W39" s="49">
        <f t="shared" si="7"/>
        <v>3.1970475948378092</v>
      </c>
      <c r="X39" s="49">
        <f t="shared" si="7"/>
        <v>29.197742896230224</v>
      </c>
      <c r="Y39" s="49">
        <f t="shared" si="7"/>
        <v>131.0763990835693</v>
      </c>
      <c r="Z39" s="49">
        <f t="shared" si="7"/>
        <v>20.246874409680274</v>
      </c>
      <c r="AA39" s="49">
        <f t="shared" si="7"/>
        <v>226.94999956621052</v>
      </c>
      <c r="AB39" s="49">
        <f t="shared" si="7"/>
        <v>10.099304549321133</v>
      </c>
      <c r="AC39" s="49">
        <f t="shared" si="7"/>
        <v>26.123462670980935</v>
      </c>
      <c r="AD39" s="49">
        <f t="shared" si="7"/>
        <v>21.132736840210256</v>
      </c>
      <c r="AE39" s="49">
        <f t="shared" si="7"/>
        <v>203.69646660635419</v>
      </c>
      <c r="AF39" s="49">
        <f t="shared" si="7"/>
        <v>6.1160645189432321</v>
      </c>
      <c r="AG39" s="49">
        <f t="shared" si="7"/>
        <v>8.4961246981829266</v>
      </c>
      <c r="AH39" s="49">
        <f t="shared" si="7"/>
        <v>4.8251251465779399</v>
      </c>
      <c r="AI39" s="49">
        <f t="shared" si="7"/>
        <v>0.65194669258362592</v>
      </c>
      <c r="AJ39" s="49">
        <f t="shared" si="7"/>
        <v>84.360542882420901</v>
      </c>
      <c r="AK39" s="49">
        <f t="shared" si="7"/>
        <v>126.3354096986635</v>
      </c>
      <c r="AL39" s="49">
        <f t="shared" si="7"/>
        <v>23.959913447336717</v>
      </c>
      <c r="AM39" s="49">
        <f t="shared" si="7"/>
        <v>32.309527826696417</v>
      </c>
      <c r="AN39" s="49">
        <f t="shared" si="7"/>
        <v>24.116226120775718</v>
      </c>
      <c r="AO39" s="49">
        <f t="shared" si="7"/>
        <v>7.2827457478213899</v>
      </c>
      <c r="AP39" s="49">
        <f t="shared" si="7"/>
        <v>16.918781120962919</v>
      </c>
      <c r="AQ39" s="49">
        <f t="shared" si="7"/>
        <v>250.48162189780288</v>
      </c>
    </row>
    <row r="40" spans="14:43">
      <c r="N40" s="113">
        <v>2020</v>
      </c>
      <c r="O40" s="49">
        <f t="shared" si="4"/>
        <v>1583.6403082920128</v>
      </c>
      <c r="P40" s="49">
        <f>HLOOKUP(P$36,$P$27:$AQ$34,6,0)</f>
        <v>35.50757650147753</v>
      </c>
      <c r="Q40" s="49">
        <f t="shared" ref="Q40:AQ40" si="8">HLOOKUP(Q$36,$P$27:$AQ$34,6,0)</f>
        <v>50.278636108410915</v>
      </c>
      <c r="R40" s="49">
        <f t="shared" si="8"/>
        <v>12.367599491915882</v>
      </c>
      <c r="S40" s="49">
        <f t="shared" si="8"/>
        <v>2.328827455131111</v>
      </c>
      <c r="T40" s="49">
        <f t="shared" si="8"/>
        <v>37.488566831102716</v>
      </c>
      <c r="U40" s="49">
        <f t="shared" si="8"/>
        <v>286.23395587080989</v>
      </c>
      <c r="V40" s="49">
        <f t="shared" si="8"/>
        <v>17.152540788652814</v>
      </c>
      <c r="W40" s="49">
        <f t="shared" si="8"/>
        <v>2.8057001402892663</v>
      </c>
      <c r="X40" s="49">
        <f t="shared" si="8"/>
        <v>25.642417269288245</v>
      </c>
      <c r="Y40" s="49">
        <f t="shared" si="8"/>
        <v>115.6115279107925</v>
      </c>
      <c r="Z40" s="49">
        <f t="shared" si="8"/>
        <v>17.765435182925565</v>
      </c>
      <c r="AA40" s="49">
        <f t="shared" si="8"/>
        <v>201.16458736242924</v>
      </c>
      <c r="AB40" s="49">
        <f t="shared" si="8"/>
        <v>9.4535342872002879</v>
      </c>
      <c r="AC40" s="49">
        <f t="shared" si="8"/>
        <v>24.855851500371347</v>
      </c>
      <c r="AD40" s="49">
        <f t="shared" si="8"/>
        <v>19.288337498230938</v>
      </c>
      <c r="AE40" s="49">
        <f t="shared" si="8"/>
        <v>187.83613272674825</v>
      </c>
      <c r="AF40" s="49">
        <f t="shared" si="8"/>
        <v>6.0008482664341543</v>
      </c>
      <c r="AG40" s="49">
        <f t="shared" si="8"/>
        <v>8.1298232204200431</v>
      </c>
      <c r="AH40" s="49">
        <f t="shared" si="8"/>
        <v>4.4357582395211725</v>
      </c>
      <c r="AI40" s="49">
        <f t="shared" si="8"/>
        <v>0.59416184694028162</v>
      </c>
      <c r="AJ40" s="49">
        <f t="shared" si="8"/>
        <v>77.159644030938196</v>
      </c>
      <c r="AK40" s="49">
        <f t="shared" si="8"/>
        <v>121.74620023312826</v>
      </c>
      <c r="AL40" s="49">
        <f t="shared" si="8"/>
        <v>21.872634264509372</v>
      </c>
      <c r="AM40" s="49">
        <f t="shared" si="8"/>
        <v>31.334696469994526</v>
      </c>
      <c r="AN40" s="49">
        <f t="shared" si="8"/>
        <v>21.096417068662234</v>
      </c>
      <c r="AO40" s="49">
        <f t="shared" si="8"/>
        <v>6.8402948287848266</v>
      </c>
      <c r="AP40" s="49">
        <f t="shared" si="8"/>
        <v>16.504087066357648</v>
      </c>
      <c r="AQ40" s="49">
        <f t="shared" si="8"/>
        <v>222.14451583054563</v>
      </c>
    </row>
    <row r="41" spans="14:43">
      <c r="N41" s="113">
        <v>2025</v>
      </c>
      <c r="O41" s="49">
        <f t="shared" si="4"/>
        <v>1458.9583161434821</v>
      </c>
      <c r="P41" s="49">
        <f>HLOOKUP(P$36,$P$27:$AQ$34,7,0)</f>
        <v>31.534839076945055</v>
      </c>
      <c r="Q41" s="49">
        <f t="shared" ref="Q41:AQ41" si="9">HLOOKUP(Q$36,$P$27:$AQ$34,7,0)</f>
        <v>43.279818047535215</v>
      </c>
      <c r="R41" s="49">
        <f t="shared" si="9"/>
        <v>15.543608285945981</v>
      </c>
      <c r="S41" s="49">
        <f t="shared" si="9"/>
        <v>2.0798375637862527</v>
      </c>
      <c r="T41" s="49">
        <f t="shared" si="9"/>
        <v>38.324481074712892</v>
      </c>
      <c r="U41" s="49">
        <f t="shared" si="9"/>
        <v>245.94115807989007</v>
      </c>
      <c r="V41" s="49">
        <f t="shared" si="9"/>
        <v>13.657380365550123</v>
      </c>
      <c r="W41" s="49">
        <f t="shared" si="9"/>
        <v>2.7771363977382411</v>
      </c>
      <c r="X41" s="49">
        <f t="shared" si="9"/>
        <v>32.107653806570738</v>
      </c>
      <c r="Y41" s="49">
        <f t="shared" si="9"/>
        <v>115.06166190814803</v>
      </c>
      <c r="Z41" s="49">
        <f t="shared" si="9"/>
        <v>15.302055135173365</v>
      </c>
      <c r="AA41" s="49">
        <f t="shared" si="9"/>
        <v>170.16420418919702</v>
      </c>
      <c r="AB41" s="49">
        <f t="shared" si="9"/>
        <v>10.770762594980276</v>
      </c>
      <c r="AC41" s="49">
        <f t="shared" si="9"/>
        <v>29.516051865198122</v>
      </c>
      <c r="AD41" s="49">
        <f t="shared" si="9"/>
        <v>14.218466190600964</v>
      </c>
      <c r="AE41" s="49">
        <f t="shared" si="9"/>
        <v>173.33843508065317</v>
      </c>
      <c r="AF41" s="49">
        <f t="shared" si="9"/>
        <v>6.1523231141785981</v>
      </c>
      <c r="AG41" s="49">
        <f t="shared" si="9"/>
        <v>6.5571255256100365</v>
      </c>
      <c r="AH41" s="49">
        <f t="shared" si="9"/>
        <v>4.6587688438321262</v>
      </c>
      <c r="AI41" s="49">
        <f t="shared" si="9"/>
        <v>0.57003531462861501</v>
      </c>
      <c r="AJ41" s="49">
        <f t="shared" si="9"/>
        <v>63.284865103282911</v>
      </c>
      <c r="AK41" s="49">
        <f t="shared" si="9"/>
        <v>114.38714417098596</v>
      </c>
      <c r="AL41" s="49">
        <f t="shared" si="9"/>
        <v>24.846777758449601</v>
      </c>
      <c r="AM41" s="49">
        <f t="shared" si="9"/>
        <v>35.314473910984034</v>
      </c>
      <c r="AN41" s="49">
        <f t="shared" si="9"/>
        <v>18.552228250233046</v>
      </c>
      <c r="AO41" s="49">
        <f t="shared" si="9"/>
        <v>7.0027041590811638</v>
      </c>
      <c r="AP41" s="49">
        <f t="shared" si="9"/>
        <v>16.493257458336089</v>
      </c>
      <c r="AQ41" s="49">
        <f t="shared" si="9"/>
        <v>207.52106287125417</v>
      </c>
    </row>
    <row r="42" spans="14:43">
      <c r="N42" s="113">
        <v>2030</v>
      </c>
      <c r="O42" s="49">
        <f t="shared" si="4"/>
        <v>1338.43657799995</v>
      </c>
      <c r="P42" s="49">
        <f>HLOOKUP(P$36,$P$27:$AQ$34,8,0)</f>
        <v>27.972177729036488</v>
      </c>
      <c r="Q42" s="49">
        <f t="shared" ref="Q42:AQ42" si="10">HLOOKUP(Q$36,$P$27:$AQ$34,8,0)</f>
        <v>36.073584195042912</v>
      </c>
      <c r="R42" s="49">
        <f t="shared" si="10"/>
        <v>18.454432068387778</v>
      </c>
      <c r="S42" s="49">
        <f t="shared" si="10"/>
        <v>1.8883820696885949</v>
      </c>
      <c r="T42" s="49">
        <f t="shared" si="10"/>
        <v>40.01312239578737</v>
      </c>
      <c r="U42" s="49">
        <f t="shared" si="10"/>
        <v>207.57272785462436</v>
      </c>
      <c r="V42" s="49">
        <f t="shared" si="10"/>
        <v>10.237207425301939</v>
      </c>
      <c r="W42" s="49">
        <f t="shared" si="10"/>
        <v>2.910928276864015</v>
      </c>
      <c r="X42" s="49">
        <f t="shared" si="10"/>
        <v>38.427526098691935</v>
      </c>
      <c r="Y42" s="49">
        <f t="shared" si="10"/>
        <v>114.47350406395591</v>
      </c>
      <c r="Z42" s="49">
        <f t="shared" si="10"/>
        <v>12.79020070981597</v>
      </c>
      <c r="AA42" s="49">
        <f t="shared" si="10"/>
        <v>138.26081911462552</v>
      </c>
      <c r="AB42" s="49">
        <f t="shared" si="10"/>
        <v>12.001800195392459</v>
      </c>
      <c r="AC42" s="49">
        <f t="shared" si="10"/>
        <v>34.178701945057696</v>
      </c>
      <c r="AD42" s="49">
        <f t="shared" si="10"/>
        <v>9.6144335140693933</v>
      </c>
      <c r="AE42" s="49">
        <f t="shared" si="10"/>
        <v>157.68546704212861</v>
      </c>
      <c r="AF42" s="49">
        <f t="shared" si="10"/>
        <v>6.2647011260203431</v>
      </c>
      <c r="AG42" s="49">
        <f t="shared" si="10"/>
        <v>4.9959152288881308</v>
      </c>
      <c r="AH42" s="49">
        <f t="shared" si="10"/>
        <v>4.883816357686781</v>
      </c>
      <c r="AI42" s="49">
        <f t="shared" si="10"/>
        <v>0.54877696622876793</v>
      </c>
      <c r="AJ42" s="49">
        <f t="shared" si="10"/>
        <v>48.817597230340837</v>
      </c>
      <c r="AK42" s="49">
        <f t="shared" si="10"/>
        <v>106.67399733398867</v>
      </c>
      <c r="AL42" s="49">
        <f t="shared" si="10"/>
        <v>28.78483068185902</v>
      </c>
      <c r="AM42" s="49">
        <f t="shared" si="10"/>
        <v>40.387082051794224</v>
      </c>
      <c r="AN42" s="49">
        <f t="shared" si="10"/>
        <v>15.841450502539853</v>
      </c>
      <c r="AO42" s="49">
        <f t="shared" si="10"/>
        <v>7.1412532315132022</v>
      </c>
      <c r="AP42" s="49">
        <f t="shared" si="10"/>
        <v>16.585788871897826</v>
      </c>
      <c r="AQ42" s="49">
        <f t="shared" si="10"/>
        <v>194.95635371872123</v>
      </c>
    </row>
  </sheetData>
  <mergeCells count="1">
    <mergeCell ref="H15:H16"/>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54"/>
  <sheetViews>
    <sheetView zoomScale="115" zoomScaleNormal="115" workbookViewId="0">
      <selection activeCell="E50" sqref="E50"/>
    </sheetView>
  </sheetViews>
  <sheetFormatPr defaultRowHeight="15"/>
  <cols>
    <col min="1" max="1" width="9.140625" style="113"/>
    <col min="2" max="2" width="13.85546875" style="113" customWidth="1"/>
    <col min="3" max="3" width="25.5703125" style="113" customWidth="1"/>
    <col min="4" max="4" width="10.7109375" style="113" bestFit="1" customWidth="1"/>
    <col min="5" max="16384" width="9.140625" style="113"/>
  </cols>
  <sheetData>
    <row r="3" spans="2:16">
      <c r="B3" s="113" t="s">
        <v>265</v>
      </c>
      <c r="E3" s="113" t="s">
        <v>154</v>
      </c>
    </row>
    <row r="4" spans="2:16">
      <c r="B4" s="113">
        <v>2005</v>
      </c>
      <c r="C4" s="113" t="s">
        <v>367</v>
      </c>
      <c r="D4" s="113" t="s">
        <v>368</v>
      </c>
      <c r="E4" s="113" t="s">
        <v>369</v>
      </c>
    </row>
    <row r="5" spans="2:16">
      <c r="B5" s="137">
        <f>D50</f>
        <v>2848.43</v>
      </c>
      <c r="C5" s="49">
        <f>(1-0.125)*B5</f>
        <v>2492.3762499999998</v>
      </c>
      <c r="D5" s="49">
        <f>G50</f>
        <v>2364.1889307735019</v>
      </c>
      <c r="E5" s="49">
        <f>0.7*B5</f>
        <v>1993.9009999999998</v>
      </c>
    </row>
    <row r="6" spans="2:16">
      <c r="B6" s="113" t="s">
        <v>373</v>
      </c>
      <c r="D6" s="113" t="s">
        <v>374</v>
      </c>
      <c r="E6" s="49" t="s">
        <v>391</v>
      </c>
      <c r="F6" s="49" t="s">
        <v>392</v>
      </c>
      <c r="G6" s="49" t="s">
        <v>393</v>
      </c>
      <c r="H6" s="113" t="s">
        <v>376</v>
      </c>
      <c r="I6" s="113" t="s">
        <v>377</v>
      </c>
      <c r="K6" s="113" t="str">
        <f t="shared" ref="K6:P6" si="0">D6</f>
        <v>S1 Average 2016-2018</v>
      </c>
      <c r="L6" s="113" t="str">
        <f t="shared" si="0"/>
        <v>EP amendment ESR TOTAL</v>
      </c>
      <c r="M6" s="113" t="str">
        <f t="shared" si="0"/>
        <v>ESR non CO2</v>
      </c>
      <c r="N6" s="113" t="str">
        <f t="shared" si="0"/>
        <v>EP amendment ESR CO2</v>
      </c>
      <c r="O6" s="113" t="str">
        <f t="shared" si="0"/>
        <v>REF2016</v>
      </c>
      <c r="P6" s="113" t="str">
        <f t="shared" si="0"/>
        <v>EUCO30</v>
      </c>
    </row>
    <row r="7" spans="2:16">
      <c r="C7" s="113">
        <v>2005</v>
      </c>
      <c r="D7" s="49"/>
      <c r="E7" s="49">
        <f>D50</f>
        <v>2848.43</v>
      </c>
      <c r="F7" s="49">
        <f>D51</f>
        <v>896.93119999999999</v>
      </c>
      <c r="G7" s="49">
        <f>E7-F7</f>
        <v>1951.4987999999998</v>
      </c>
      <c r="H7" s="49">
        <f>E7</f>
        <v>2848.43</v>
      </c>
      <c r="I7" s="49">
        <f>E7</f>
        <v>2848.43</v>
      </c>
      <c r="K7" s="142"/>
      <c r="L7" s="142">
        <f t="shared" ref="L7:N22" si="1">E7/E$7-1</f>
        <v>0</v>
      </c>
      <c r="M7" s="142">
        <f t="shared" si="1"/>
        <v>0</v>
      </c>
      <c r="N7" s="142">
        <f t="shared" si="1"/>
        <v>0</v>
      </c>
      <c r="O7" s="142"/>
      <c r="P7" s="142"/>
    </row>
    <row r="8" spans="2:16">
      <c r="C8" s="113">
        <v>2010</v>
      </c>
      <c r="D8" s="49"/>
      <c r="E8" s="49">
        <f>E50</f>
        <v>2738.04</v>
      </c>
      <c r="F8" s="49">
        <f>E51</f>
        <v>850.51979999999992</v>
      </c>
      <c r="G8" s="49">
        <f>E8-F8</f>
        <v>1887.5201999999999</v>
      </c>
      <c r="H8" s="49">
        <f>E8</f>
        <v>2738.04</v>
      </c>
      <c r="I8" s="49">
        <f>E8</f>
        <v>2738.04</v>
      </c>
      <c r="K8" s="142"/>
      <c r="L8" s="142">
        <f t="shared" si="1"/>
        <v>-3.8754682403990937E-2</v>
      </c>
      <c r="M8" s="142">
        <f t="shared" si="1"/>
        <v>-5.1744660014056865E-2</v>
      </c>
      <c r="N8" s="142">
        <f t="shared" si="1"/>
        <v>-3.2784339913506488E-2</v>
      </c>
      <c r="O8" s="142"/>
      <c r="P8" s="142"/>
    </row>
    <row r="9" spans="2:16">
      <c r="C9" s="113">
        <v>2015</v>
      </c>
      <c r="D9" s="49"/>
      <c r="E9" s="49">
        <f>F50</f>
        <v>2520.66</v>
      </c>
      <c r="F9" s="49">
        <f>F51</f>
        <v>823.84980000000007</v>
      </c>
      <c r="G9" s="49">
        <f>E9-F9</f>
        <v>1696.8101999999999</v>
      </c>
      <c r="H9" s="49">
        <f>E9</f>
        <v>2520.66</v>
      </c>
      <c r="I9" s="49">
        <f>E9</f>
        <v>2520.66</v>
      </c>
      <c r="K9" s="142"/>
      <c r="L9" s="142">
        <f t="shared" si="1"/>
        <v>-0.11507040720677708</v>
      </c>
      <c r="M9" s="142">
        <f t="shared" si="1"/>
        <v>-8.1479382142130796E-2</v>
      </c>
      <c r="N9" s="142">
        <f t="shared" si="1"/>
        <v>-0.13050922706178447</v>
      </c>
      <c r="O9" s="142"/>
      <c r="P9" s="142"/>
    </row>
    <row r="10" spans="2:16">
      <c r="C10" s="113">
        <v>2018</v>
      </c>
      <c r="D10" s="49"/>
      <c r="E10" s="49">
        <f>D5</f>
        <v>2364.1889307735019</v>
      </c>
      <c r="F10" s="49">
        <f>F11+F11-F12</f>
        <v>751</v>
      </c>
      <c r="G10" s="49">
        <f>E10-F10</f>
        <v>1613.1889307735019</v>
      </c>
      <c r="H10" s="49">
        <f>H9+3*($H$12-$H$9)/5</f>
        <v>2426.7773584641009</v>
      </c>
      <c r="I10" s="49">
        <f>I9+3*($I$12-$I$9)/5</f>
        <v>2436.6317964760478</v>
      </c>
      <c r="K10" s="142"/>
      <c r="L10" s="142">
        <f t="shared" si="1"/>
        <v>-0.17000279776104665</v>
      </c>
      <c r="M10" s="142">
        <f t="shared" si="1"/>
        <v>-0.16270055049930254</v>
      </c>
      <c r="N10" s="142">
        <f t="shared" si="1"/>
        <v>-0.17335899423893986</v>
      </c>
      <c r="O10" s="142"/>
      <c r="P10" s="142"/>
    </row>
    <row r="11" spans="2:16">
      <c r="C11" s="113">
        <v>2019</v>
      </c>
      <c r="D11" s="49"/>
      <c r="E11" s="49">
        <f t="shared" ref="E11:E21" si="2">E10+($E$22-$E$10)/12</f>
        <v>2333.3316032090434</v>
      </c>
      <c r="F11" s="49">
        <f>F12+F12-F13</f>
        <v>743</v>
      </c>
      <c r="G11" s="49">
        <f t="shared" ref="G11:G21" si="3">E11-F11</f>
        <v>1590.3316032090434</v>
      </c>
      <c r="H11" s="49">
        <f>H10+($H$12-$H$9)/5</f>
        <v>2395.4831446188014</v>
      </c>
      <c r="I11" s="49">
        <f>I10+($I$12-$I$9)/5</f>
        <v>2408.6223953013973</v>
      </c>
      <c r="K11" s="142"/>
      <c r="L11" s="142">
        <f t="shared" si="1"/>
        <v>-0.18083589794762611</v>
      </c>
      <c r="M11" s="142">
        <f t="shared" si="1"/>
        <v>-0.17161985222500897</v>
      </c>
      <c r="N11" s="142">
        <f t="shared" si="1"/>
        <v>-0.18507169811785507</v>
      </c>
      <c r="O11" s="142"/>
      <c r="P11" s="142"/>
    </row>
    <row r="12" spans="2:16">
      <c r="B12" s="147">
        <f>E12/E10</f>
        <v>0.97389605613764318</v>
      </c>
      <c r="C12" s="113">
        <v>2020</v>
      </c>
      <c r="D12" s="49">
        <f>C5</f>
        <v>2492.3762499999998</v>
      </c>
      <c r="E12" s="49">
        <f t="shared" si="2"/>
        <v>2302.4742756445848</v>
      </c>
      <c r="F12" s="49">
        <f>G51</f>
        <v>735</v>
      </c>
      <c r="G12" s="49">
        <f t="shared" si="3"/>
        <v>1567.4742756445848</v>
      </c>
      <c r="H12" s="138">
        <f>G50</f>
        <v>2364.1889307735019</v>
      </c>
      <c r="I12" s="49">
        <f>S50</f>
        <v>2380.6129941267463</v>
      </c>
      <c r="K12" s="142">
        <f t="shared" ref="K12:K22" si="4">D12/$B$5-1</f>
        <v>-0.125</v>
      </c>
      <c r="L12" s="142">
        <f t="shared" si="1"/>
        <v>-0.19166899813420557</v>
      </c>
      <c r="M12" s="142">
        <f t="shared" si="1"/>
        <v>-0.18053915395071551</v>
      </c>
      <c r="N12" s="142">
        <f t="shared" si="1"/>
        <v>-0.19678440199677039</v>
      </c>
      <c r="O12" s="142">
        <f t="shared" ref="O12:P22" si="5">H12/$B$5-1</f>
        <v>-0.17000279776104665</v>
      </c>
      <c r="P12" s="142">
        <f t="shared" si="5"/>
        <v>-0.16423679215331022</v>
      </c>
    </row>
    <row r="13" spans="2:16">
      <c r="B13" s="113" t="s">
        <v>372</v>
      </c>
      <c r="C13" s="136">
        <v>2021</v>
      </c>
      <c r="D13" s="49">
        <f t="shared" ref="D13:D21" si="6">D12+($D$22-$D$12)/10</f>
        <v>2442.5287249999997</v>
      </c>
      <c r="E13" s="49">
        <f t="shared" si="2"/>
        <v>2271.6169480801263</v>
      </c>
      <c r="F13" s="49">
        <f>F12+($F$17-$F$12)/5</f>
        <v>727</v>
      </c>
      <c r="G13" s="49">
        <f t="shared" si="3"/>
        <v>1544.6169480801263</v>
      </c>
      <c r="H13" s="49">
        <f>H12+($H$17-$H$12)/5</f>
        <v>2344.8887529260869</v>
      </c>
      <c r="I13" s="49">
        <f>I12+($I$17-$I$12)/5</f>
        <v>2341.9831867184716</v>
      </c>
      <c r="K13" s="142">
        <f t="shared" si="4"/>
        <v>-0.14250000000000007</v>
      </c>
      <c r="L13" s="142">
        <f t="shared" si="1"/>
        <v>-0.20250209832078492</v>
      </c>
      <c r="M13" s="142">
        <f t="shared" si="1"/>
        <v>-0.18945845567642194</v>
      </c>
      <c r="N13" s="142">
        <f t="shared" si="1"/>
        <v>-0.20849710587568571</v>
      </c>
      <c r="O13" s="142">
        <f t="shared" si="5"/>
        <v>-0.17677852258047866</v>
      </c>
      <c r="P13" s="142">
        <f t="shared" si="5"/>
        <v>-0.17779858142258309</v>
      </c>
    </row>
    <row r="14" spans="2:16">
      <c r="B14" s="113" t="s">
        <v>372</v>
      </c>
      <c r="C14" s="136">
        <v>2022</v>
      </c>
      <c r="D14" s="49">
        <f t="shared" si="6"/>
        <v>2392.6811999999995</v>
      </c>
      <c r="E14" s="49">
        <f t="shared" si="2"/>
        <v>2240.7596205156678</v>
      </c>
      <c r="F14" s="49">
        <f>F13+($F$17-$F$12)/5</f>
        <v>719</v>
      </c>
      <c r="G14" s="49">
        <f t="shared" si="3"/>
        <v>1521.7596205156678</v>
      </c>
      <c r="H14" s="49">
        <f>H13+($H$17-$H$12)/5</f>
        <v>2325.588575078672</v>
      </c>
      <c r="I14" s="49">
        <f>I13+($I$17-$I$12)/5</f>
        <v>2303.3533793101969</v>
      </c>
      <c r="K14" s="142">
        <f t="shared" si="4"/>
        <v>-0.16000000000000014</v>
      </c>
      <c r="L14" s="142">
        <f t="shared" si="1"/>
        <v>-0.21333519850736438</v>
      </c>
      <c r="M14" s="142">
        <f t="shared" si="1"/>
        <v>-0.19837775740212849</v>
      </c>
      <c r="N14" s="142">
        <f t="shared" si="1"/>
        <v>-0.22020980975460092</v>
      </c>
      <c r="O14" s="142">
        <f t="shared" si="5"/>
        <v>-0.18355424739991077</v>
      </c>
      <c r="P14" s="142">
        <f t="shared" si="5"/>
        <v>-0.19136037069185585</v>
      </c>
    </row>
    <row r="15" spans="2:16">
      <c r="B15" s="113" t="s">
        <v>372</v>
      </c>
      <c r="C15" s="136">
        <v>2023</v>
      </c>
      <c r="D15" s="49">
        <f t="shared" si="6"/>
        <v>2342.8336749999994</v>
      </c>
      <c r="E15" s="49">
        <f t="shared" si="2"/>
        <v>2209.9022929512093</v>
      </c>
      <c r="F15" s="49">
        <f>F14+($F$17-$F$12)/5</f>
        <v>711</v>
      </c>
      <c r="G15" s="49">
        <f t="shared" si="3"/>
        <v>1498.9022929512093</v>
      </c>
      <c r="H15" s="49">
        <f>H14+($H$17-$H$12)/5</f>
        <v>2306.288397231257</v>
      </c>
      <c r="I15" s="49">
        <f>I14+($I$17-$I$12)/5</f>
        <v>2264.7235719019222</v>
      </c>
      <c r="K15" s="142">
        <f t="shared" si="4"/>
        <v>-0.17750000000000021</v>
      </c>
      <c r="L15" s="142">
        <f t="shared" si="1"/>
        <v>-0.22416829869394383</v>
      </c>
      <c r="M15" s="142">
        <f t="shared" si="1"/>
        <v>-0.20729705912783503</v>
      </c>
      <c r="N15" s="142">
        <f t="shared" si="1"/>
        <v>-0.23192251363351624</v>
      </c>
      <c r="O15" s="142">
        <f t="shared" si="5"/>
        <v>-0.19032997221934289</v>
      </c>
      <c r="P15" s="142">
        <f t="shared" si="5"/>
        <v>-0.20492215996112861</v>
      </c>
    </row>
    <row r="16" spans="2:16">
      <c r="B16" s="113" t="s">
        <v>372</v>
      </c>
      <c r="C16" s="136">
        <v>2024</v>
      </c>
      <c r="D16" s="49">
        <f t="shared" si="6"/>
        <v>2292.9861499999993</v>
      </c>
      <c r="E16" s="49">
        <f t="shared" si="2"/>
        <v>2179.0449653867508</v>
      </c>
      <c r="F16" s="49">
        <f>F15+($F$17-$F$12)/5</f>
        <v>703</v>
      </c>
      <c r="G16" s="49">
        <f t="shared" si="3"/>
        <v>1476.0449653867508</v>
      </c>
      <c r="H16" s="49">
        <f>H15+($H$17-$H$12)/5</f>
        <v>2286.9882193838421</v>
      </c>
      <c r="I16" s="49">
        <f>I15+($I$17-$I$12)/5</f>
        <v>2226.0937644936475</v>
      </c>
      <c r="K16" s="142">
        <f t="shared" si="4"/>
        <v>-0.19500000000000017</v>
      </c>
      <c r="L16" s="142">
        <f t="shared" si="1"/>
        <v>-0.23500139888052329</v>
      </c>
      <c r="M16" s="142">
        <f t="shared" si="1"/>
        <v>-0.21621636085354146</v>
      </c>
      <c r="N16" s="142">
        <f t="shared" si="1"/>
        <v>-0.24363521751243145</v>
      </c>
      <c r="O16" s="142">
        <f t="shared" si="5"/>
        <v>-0.19710569703877501</v>
      </c>
      <c r="P16" s="142">
        <f t="shared" si="5"/>
        <v>-0.21848394923040138</v>
      </c>
    </row>
    <row r="17" spans="2:16">
      <c r="B17" s="113" t="s">
        <v>372</v>
      </c>
      <c r="C17" s="136">
        <v>2025</v>
      </c>
      <c r="D17" s="49">
        <f t="shared" si="6"/>
        <v>2243.1386249999991</v>
      </c>
      <c r="E17" s="49">
        <f t="shared" si="2"/>
        <v>2148.1876378222923</v>
      </c>
      <c r="F17" s="49">
        <f>H51</f>
        <v>695</v>
      </c>
      <c r="G17" s="49">
        <f t="shared" si="3"/>
        <v>1453.1876378222923</v>
      </c>
      <c r="H17" s="138">
        <f>H50</f>
        <v>2267.6880415364267</v>
      </c>
      <c r="I17" s="49">
        <f>T50</f>
        <v>2187.4639570853724</v>
      </c>
      <c r="K17" s="142">
        <f t="shared" si="4"/>
        <v>-0.21250000000000024</v>
      </c>
      <c r="L17" s="142">
        <f t="shared" si="1"/>
        <v>-0.24583449906710275</v>
      </c>
      <c r="M17" s="142">
        <f t="shared" si="1"/>
        <v>-0.225135662579248</v>
      </c>
      <c r="N17" s="142">
        <f t="shared" si="1"/>
        <v>-0.25534792139134677</v>
      </c>
      <c r="O17" s="142">
        <f t="shared" si="5"/>
        <v>-0.20388142185820723</v>
      </c>
      <c r="P17" s="142">
        <f t="shared" si="5"/>
        <v>-0.23204573849967436</v>
      </c>
    </row>
    <row r="18" spans="2:16">
      <c r="B18" s="113" t="s">
        <v>372</v>
      </c>
      <c r="C18" s="136">
        <v>2026</v>
      </c>
      <c r="D18" s="49">
        <f t="shared" si="6"/>
        <v>2193.291099999999</v>
      </c>
      <c r="E18" s="49">
        <f t="shared" si="2"/>
        <v>2117.3303102578338</v>
      </c>
      <c r="F18" s="49">
        <f>F17+($F$22-$F$17)/5</f>
        <v>685.03196000000003</v>
      </c>
      <c r="G18" s="49">
        <f t="shared" si="3"/>
        <v>1432.2983502578338</v>
      </c>
      <c r="H18" s="49">
        <f>H17+($H$22-$H$17)/5</f>
        <v>2244.2531468367542</v>
      </c>
      <c r="I18" s="49">
        <f>I17+($I$22-$I$17)/5</f>
        <v>2144.2525246222881</v>
      </c>
      <c r="K18" s="142">
        <f t="shared" si="4"/>
        <v>-0.23000000000000032</v>
      </c>
      <c r="L18" s="142">
        <f t="shared" si="1"/>
        <v>-0.25666759925368221</v>
      </c>
      <c r="M18" s="142">
        <f t="shared" si="1"/>
        <v>-0.23624915712598693</v>
      </c>
      <c r="N18" s="142">
        <f t="shared" si="1"/>
        <v>-0.26605214911849606</v>
      </c>
      <c r="O18" s="142">
        <f t="shared" si="5"/>
        <v>-0.21210872416146631</v>
      </c>
      <c r="P18" s="142">
        <f t="shared" si="5"/>
        <v>-0.24721600157901436</v>
      </c>
    </row>
    <row r="19" spans="2:16">
      <c r="B19" s="113" t="s">
        <v>372</v>
      </c>
      <c r="C19" s="136">
        <v>2027</v>
      </c>
      <c r="D19" s="49">
        <f t="shared" si="6"/>
        <v>2143.4435749999989</v>
      </c>
      <c r="E19" s="49">
        <f t="shared" si="2"/>
        <v>2086.4729826933753</v>
      </c>
      <c r="F19" s="49">
        <f>F18+($F$22-$F$17)/5</f>
        <v>675.06392000000005</v>
      </c>
      <c r="G19" s="49">
        <f t="shared" si="3"/>
        <v>1411.4090626933753</v>
      </c>
      <c r="H19" s="49">
        <f>H18+($H$22-$H$17)/5</f>
        <v>2220.8182521370818</v>
      </c>
      <c r="I19" s="49">
        <f>I18+($I$22-$I$17)/5</f>
        <v>2101.0410921592038</v>
      </c>
      <c r="K19" s="142">
        <f t="shared" si="4"/>
        <v>-0.24750000000000039</v>
      </c>
      <c r="L19" s="142">
        <f t="shared" si="1"/>
        <v>-0.26750069944026167</v>
      </c>
      <c r="M19" s="142">
        <f t="shared" si="1"/>
        <v>-0.24736265167272575</v>
      </c>
      <c r="N19" s="142">
        <f t="shared" si="1"/>
        <v>-0.27675637684564536</v>
      </c>
      <c r="O19" s="142">
        <f t="shared" si="5"/>
        <v>-0.2203360264647255</v>
      </c>
      <c r="P19" s="142">
        <f t="shared" si="5"/>
        <v>-0.26238626465835424</v>
      </c>
    </row>
    <row r="20" spans="2:16">
      <c r="B20" s="113" t="s">
        <v>372</v>
      </c>
      <c r="C20" s="136">
        <v>2028</v>
      </c>
      <c r="D20" s="49">
        <f t="shared" si="6"/>
        <v>2093.5960499999987</v>
      </c>
      <c r="E20" s="49">
        <f t="shared" si="2"/>
        <v>2055.6156551289168</v>
      </c>
      <c r="F20" s="49">
        <f>F19+($F$22-$F$17)/5</f>
        <v>665.09588000000008</v>
      </c>
      <c r="G20" s="49">
        <f t="shared" si="3"/>
        <v>1390.5197751289168</v>
      </c>
      <c r="H20" s="49">
        <f>H19+($H$22-$H$17)/5</f>
        <v>2197.3833574374094</v>
      </c>
      <c r="I20" s="49">
        <f>I19+($I$22-$I$17)/5</f>
        <v>2057.8296596961195</v>
      </c>
      <c r="K20" s="142">
        <f t="shared" si="4"/>
        <v>-0.26500000000000035</v>
      </c>
      <c r="L20" s="142">
        <f t="shared" si="1"/>
        <v>-0.27833379962684113</v>
      </c>
      <c r="M20" s="142">
        <f t="shared" si="1"/>
        <v>-0.25847614621946469</v>
      </c>
      <c r="N20" s="142">
        <f t="shared" si="1"/>
        <v>-0.28746060457279454</v>
      </c>
      <c r="O20" s="142">
        <f t="shared" si="5"/>
        <v>-0.22856332876798469</v>
      </c>
      <c r="P20" s="142">
        <f t="shared" si="5"/>
        <v>-0.27755652773769424</v>
      </c>
    </row>
    <row r="21" spans="2:16">
      <c r="B21" s="113" t="s">
        <v>372</v>
      </c>
      <c r="C21" s="136">
        <v>2029</v>
      </c>
      <c r="D21" s="49">
        <f t="shared" si="6"/>
        <v>2043.7485249999988</v>
      </c>
      <c r="E21" s="49">
        <f t="shared" si="2"/>
        <v>2024.7583275644583</v>
      </c>
      <c r="F21" s="49">
        <f>F20+($F$22-$F$17)/5</f>
        <v>655.12784000000011</v>
      </c>
      <c r="G21" s="49">
        <f t="shared" si="3"/>
        <v>1369.6304875644582</v>
      </c>
      <c r="H21" s="49">
        <f>H20+($H$22-$H$17)/5</f>
        <v>2173.9484627377369</v>
      </c>
      <c r="I21" s="49">
        <f>I20+($I$22-$I$17)/5</f>
        <v>2014.6182272330352</v>
      </c>
      <c r="K21" s="142">
        <f t="shared" si="4"/>
        <v>-0.28250000000000042</v>
      </c>
      <c r="L21" s="142">
        <f t="shared" si="1"/>
        <v>-0.28916689981342059</v>
      </c>
      <c r="M21" s="142">
        <f t="shared" si="1"/>
        <v>-0.26958964076620362</v>
      </c>
      <c r="N21" s="142">
        <f t="shared" si="1"/>
        <v>-0.29816483229994384</v>
      </c>
      <c r="O21" s="142">
        <f t="shared" si="5"/>
        <v>-0.23679063107124376</v>
      </c>
      <c r="P21" s="142">
        <f t="shared" si="5"/>
        <v>-0.29272679081703423</v>
      </c>
    </row>
    <row r="22" spans="2:16">
      <c r="B22" s="113" t="s">
        <v>372</v>
      </c>
      <c r="C22" s="136">
        <v>2030</v>
      </c>
      <c r="D22" s="49">
        <f>E5</f>
        <v>1993.9009999999998</v>
      </c>
      <c r="E22" s="49">
        <f>E5</f>
        <v>1993.9009999999998</v>
      </c>
      <c r="F22" s="49">
        <f>I51</f>
        <v>645.15980000000002</v>
      </c>
      <c r="G22" s="49">
        <f>E22-F22</f>
        <v>1348.7411999999999</v>
      </c>
      <c r="H22" s="138">
        <f>I50</f>
        <v>2150.5135680380645</v>
      </c>
      <c r="I22" s="49">
        <f>U50</f>
        <v>1971.4067947699505</v>
      </c>
      <c r="K22" s="142">
        <f t="shared" si="4"/>
        <v>-0.30000000000000004</v>
      </c>
      <c r="L22" s="142">
        <f t="shared" si="1"/>
        <v>-0.30000000000000004</v>
      </c>
      <c r="M22" s="142">
        <f t="shared" si="1"/>
        <v>-0.28070313531294255</v>
      </c>
      <c r="N22" s="142">
        <f t="shared" si="1"/>
        <v>-0.30886906002709302</v>
      </c>
      <c r="O22" s="142">
        <f t="shared" si="5"/>
        <v>-0.24501793337450295</v>
      </c>
      <c r="P22" s="142">
        <f t="shared" si="5"/>
        <v>-0.30789705389637434</v>
      </c>
    </row>
    <row r="24" spans="2:16">
      <c r="D24" s="49">
        <f>SUM(D13:D22)</f>
        <v>22182.148624999994</v>
      </c>
      <c r="E24" s="49">
        <f>SUM(E13:E22)</f>
        <v>21327.589740400632</v>
      </c>
      <c r="H24" s="49">
        <f>SUM(H13:H22)</f>
        <v>22518.358773343331</v>
      </c>
      <c r="I24" s="49">
        <f>SUM(I13:I22)</f>
        <v>21612.766157990212</v>
      </c>
    </row>
    <row r="25" spans="2:16">
      <c r="C25" s="113" t="s">
        <v>378</v>
      </c>
      <c r="D25" s="49">
        <f>D24-$H$24</f>
        <v>-336.21014834333619</v>
      </c>
      <c r="E25" s="143">
        <f>E24-$H$24</f>
        <v>-1190.7690329426987</v>
      </c>
      <c r="H25" s="49">
        <f>H24-$H$24</f>
        <v>0</v>
      </c>
      <c r="I25" s="49">
        <f>I24-$H$24</f>
        <v>-905.59261535311816</v>
      </c>
    </row>
    <row r="26" spans="2:16">
      <c r="C26" s="113" t="s">
        <v>379</v>
      </c>
      <c r="D26" s="113">
        <v>-491</v>
      </c>
      <c r="E26" s="49">
        <v>-972</v>
      </c>
    </row>
    <row r="28" spans="2:16">
      <c r="C28" s="113" t="s">
        <v>380</v>
      </c>
      <c r="D28" s="49">
        <f>D24-$E$24</f>
        <v>854.5588845993625</v>
      </c>
      <c r="E28" s="49">
        <f>E24-$E$24</f>
        <v>0</v>
      </c>
      <c r="H28" s="49">
        <f>H24-$E$24</f>
        <v>1190.7690329426987</v>
      </c>
      <c r="I28" s="49">
        <f>I24-$E$24</f>
        <v>285.17641758958052</v>
      </c>
    </row>
    <row r="29" spans="2:16">
      <c r="C29" s="113" t="s">
        <v>379</v>
      </c>
      <c r="I29" s="113">
        <v>26</v>
      </c>
    </row>
    <row r="33" spans="2:28">
      <c r="B33" s="113" t="s">
        <v>381</v>
      </c>
    </row>
    <row r="35" spans="2:28" ht="15.75" thickBot="1"/>
    <row r="36" spans="2:28" ht="15.75" thickBot="1">
      <c r="B36" s="165" t="s">
        <v>85</v>
      </c>
      <c r="C36" s="165"/>
      <c r="D36" s="165"/>
      <c r="E36" s="165"/>
      <c r="F36" s="165"/>
      <c r="G36" s="165"/>
      <c r="H36" s="165"/>
      <c r="I36" s="165"/>
      <c r="J36" s="165"/>
      <c r="K36" s="165"/>
      <c r="L36" s="165"/>
      <c r="M36" s="165"/>
      <c r="O36" s="165" t="s">
        <v>85</v>
      </c>
      <c r="P36" s="165"/>
      <c r="Q36" s="165"/>
      <c r="R36" s="165"/>
      <c r="S36" s="165"/>
      <c r="T36" s="165"/>
      <c r="U36" s="165"/>
      <c r="V36" s="165"/>
      <c r="W36" s="165"/>
      <c r="X36" s="165"/>
      <c r="Y36" s="165"/>
      <c r="Z36" s="165"/>
      <c r="AA36" s="165"/>
      <c r="AB36" s="165"/>
    </row>
    <row r="37" spans="2:28" ht="15.75" thickBot="1">
      <c r="B37" s="20" t="s">
        <v>382</v>
      </c>
      <c r="C37" s="21">
        <v>2000</v>
      </c>
      <c r="D37" s="21">
        <v>2005</v>
      </c>
      <c r="E37" s="21">
        <v>2010</v>
      </c>
      <c r="F37" s="21">
        <v>2015</v>
      </c>
      <c r="G37" s="21">
        <v>2020</v>
      </c>
      <c r="H37" s="21">
        <v>2025</v>
      </c>
      <c r="I37" s="21">
        <v>2030</v>
      </c>
      <c r="J37" s="21">
        <v>2035</v>
      </c>
      <c r="K37" s="21">
        <v>2040</v>
      </c>
      <c r="L37" s="21">
        <v>2045</v>
      </c>
      <c r="M37" s="21">
        <v>2050</v>
      </c>
      <c r="O37" s="20" t="s">
        <v>88</v>
      </c>
      <c r="P37" s="21">
        <v>1990</v>
      </c>
      <c r="Q37" s="21">
        <v>1995</v>
      </c>
      <c r="R37" s="21">
        <v>2000</v>
      </c>
      <c r="S37" s="21">
        <v>2005</v>
      </c>
      <c r="T37" s="21">
        <v>2010</v>
      </c>
      <c r="U37" s="21">
        <v>2015</v>
      </c>
      <c r="V37" s="21">
        <v>2020</v>
      </c>
      <c r="W37" s="21">
        <v>2025</v>
      </c>
      <c r="X37" s="21">
        <v>2030</v>
      </c>
      <c r="Y37" s="21">
        <v>2035</v>
      </c>
      <c r="Z37" s="21">
        <v>2040</v>
      </c>
      <c r="AA37" s="21">
        <v>2045</v>
      </c>
      <c r="AB37" s="21">
        <v>2050</v>
      </c>
    </row>
    <row r="38" spans="2:28">
      <c r="B38" s="36" t="s">
        <v>85</v>
      </c>
      <c r="C38" s="40">
        <v>4270.4716069702426</v>
      </c>
      <c r="D38" s="40">
        <v>4409.1350161507289</v>
      </c>
      <c r="E38" s="40">
        <v>4019.738164521998</v>
      </c>
      <c r="F38" s="40">
        <v>3723.4287542624033</v>
      </c>
      <c r="G38" s="40">
        <v>3470.8409587758315</v>
      </c>
      <c r="H38" s="40">
        <v>3333.9107529226094</v>
      </c>
      <c r="I38" s="40">
        <v>3142.2200846382652</v>
      </c>
      <c r="J38" s="40">
        <v>2906.6259336788844</v>
      </c>
      <c r="K38" s="40">
        <v>2652.9760023222407</v>
      </c>
      <c r="L38" s="40">
        <v>2498.1566340285467</v>
      </c>
      <c r="M38" s="40">
        <v>2383.8122345011984</v>
      </c>
      <c r="O38" s="36" t="s">
        <v>85</v>
      </c>
      <c r="P38" s="40">
        <v>4537.9236515629809</v>
      </c>
      <c r="Q38" s="44">
        <v>4281.8968192836901</v>
      </c>
      <c r="R38" s="40">
        <v>4269.4292290959002</v>
      </c>
      <c r="S38" s="40">
        <v>4409.5784876908929</v>
      </c>
      <c r="T38" s="40">
        <v>4019.614393747881</v>
      </c>
      <c r="U38" s="40">
        <v>3762.8424283984068</v>
      </c>
      <c r="V38" s="40">
        <v>3531.5434326103314</v>
      </c>
      <c r="W38" s="40">
        <v>3194.1077369531572</v>
      </c>
      <c r="X38" s="40">
        <v>2745.3163523053013</v>
      </c>
      <c r="Y38" s="40">
        <v>2193.5179467911985</v>
      </c>
      <c r="Z38" s="40">
        <v>1450.5138619246777</v>
      </c>
      <c r="AA38" s="40">
        <v>1052.0281233169721</v>
      </c>
      <c r="AB38" s="40">
        <v>729.94602230494399</v>
      </c>
    </row>
    <row r="39" spans="2:28">
      <c r="B39" s="37" t="s">
        <v>86</v>
      </c>
      <c r="C39" s="40">
        <v>3993.1935861201036</v>
      </c>
      <c r="D39" s="40">
        <v>4126.6902429170332</v>
      </c>
      <c r="E39" s="40">
        <v>3782.4546105300233</v>
      </c>
      <c r="F39" s="40">
        <v>3489.1761443560963</v>
      </c>
      <c r="G39" s="40">
        <v>3227.4626465344045</v>
      </c>
      <c r="H39" s="40">
        <v>3091.2333689955676</v>
      </c>
      <c r="I39" s="40">
        <v>2908.0753079162823</v>
      </c>
      <c r="J39" s="40">
        <v>2689.5502671684562</v>
      </c>
      <c r="K39" s="40">
        <v>2451.9071572659873</v>
      </c>
      <c r="L39" s="40">
        <v>2305.2702272846918</v>
      </c>
      <c r="M39" s="40">
        <v>2209.9614845648166</v>
      </c>
      <c r="O39" s="37" t="s">
        <v>86</v>
      </c>
      <c r="P39" s="40">
        <v>4159.9854456995226</v>
      </c>
      <c r="Q39" s="44">
        <v>4000.986036334155</v>
      </c>
      <c r="R39" s="40">
        <v>3992.1512082457607</v>
      </c>
      <c r="S39" s="40">
        <v>4127.1337144571989</v>
      </c>
      <c r="T39" s="40">
        <v>3782.3308397559053</v>
      </c>
      <c r="U39" s="40">
        <v>3524.0732321730493</v>
      </c>
      <c r="V39" s="40">
        <v>3283.5841340241354</v>
      </c>
      <c r="W39" s="40">
        <v>2950.7863366703123</v>
      </c>
      <c r="X39" s="40">
        <v>2509.5505464385233</v>
      </c>
      <c r="Y39" s="40">
        <v>1993.4145380118696</v>
      </c>
      <c r="Z39" s="40">
        <v>1340.9193610644265</v>
      </c>
      <c r="AA39" s="40">
        <v>987.01329566495542</v>
      </c>
      <c r="AB39" s="40">
        <v>688.82340667131336</v>
      </c>
    </row>
    <row r="40" spans="2:28" ht="15.75" thickBot="1">
      <c r="B40" s="38" t="s">
        <v>87</v>
      </c>
      <c r="C40" s="39">
        <v>277.27802085013832</v>
      </c>
      <c r="D40" s="39">
        <v>282.44477323369563</v>
      </c>
      <c r="E40" s="39">
        <v>237.28355399197525</v>
      </c>
      <c r="F40" s="39">
        <v>234.25260990630832</v>
      </c>
      <c r="G40" s="39">
        <v>243.37831224142724</v>
      </c>
      <c r="H40" s="39">
        <v>242.67738392704206</v>
      </c>
      <c r="I40" s="39">
        <v>234.14477672198367</v>
      </c>
      <c r="J40" s="39">
        <v>217.07566651042737</v>
      </c>
      <c r="K40" s="39">
        <v>201.06884505625212</v>
      </c>
      <c r="L40" s="39">
        <v>192.88640674385522</v>
      </c>
      <c r="M40" s="39">
        <v>173.85074993638213</v>
      </c>
      <c r="O40" s="38" t="s">
        <v>87</v>
      </c>
      <c r="P40" s="39">
        <v>377.93820586345828</v>
      </c>
      <c r="Q40" s="45">
        <v>280.91078294953564</v>
      </c>
      <c r="R40" s="39">
        <v>277.27802085013832</v>
      </c>
      <c r="S40" s="39">
        <v>282.44477323369563</v>
      </c>
      <c r="T40" s="39">
        <v>237.28355399197525</v>
      </c>
      <c r="U40" s="39">
        <v>238.76919622535689</v>
      </c>
      <c r="V40" s="39">
        <v>247.95929858619633</v>
      </c>
      <c r="W40" s="39">
        <v>243.3214002828451</v>
      </c>
      <c r="X40" s="39">
        <v>235.76580586677821</v>
      </c>
      <c r="Y40" s="39">
        <v>200.10340877932913</v>
      </c>
      <c r="Z40" s="39">
        <v>109.59450086025136</v>
      </c>
      <c r="AA40" s="39">
        <v>65.014827652016436</v>
      </c>
      <c r="AB40" s="39">
        <v>41.122615633630346</v>
      </c>
    </row>
    <row r="41" spans="2:28">
      <c r="B41" s="33" t="s">
        <v>82</v>
      </c>
      <c r="C41" s="25">
        <v>0</v>
      </c>
      <c r="D41" s="25">
        <v>2295.797470272219</v>
      </c>
      <c r="E41" s="25">
        <v>2007.9632543462005</v>
      </c>
      <c r="F41" s="25">
        <v>1839.3443206457168</v>
      </c>
      <c r="G41" s="25">
        <v>1672.6994885457759</v>
      </c>
      <c r="H41" s="25">
        <v>1586.7081517715426</v>
      </c>
      <c r="I41" s="25">
        <v>1463.9162081136406</v>
      </c>
      <c r="J41" s="25">
        <v>1266.8346396257471</v>
      </c>
      <c r="K41" s="25">
        <v>1037.2813931789246</v>
      </c>
      <c r="L41" s="25">
        <v>897.07281148881714</v>
      </c>
      <c r="M41" s="25">
        <v>794.04326636415988</v>
      </c>
      <c r="O41" s="33" t="s">
        <v>82</v>
      </c>
      <c r="P41" s="25">
        <v>0</v>
      </c>
      <c r="Q41" s="42">
        <v>0</v>
      </c>
      <c r="R41" s="25">
        <v>0</v>
      </c>
      <c r="S41" s="25">
        <v>2296.0969838920128</v>
      </c>
      <c r="T41" s="25">
        <v>2008.0932014056698</v>
      </c>
      <c r="U41" s="25">
        <v>1844.2579478564539</v>
      </c>
      <c r="V41" s="25">
        <v>1716.2786764714504</v>
      </c>
      <c r="W41" s="25">
        <v>1526.9584271872357</v>
      </c>
      <c r="X41" s="25">
        <v>1246.6741438361273</v>
      </c>
      <c r="Y41" s="25">
        <v>892.5798009898914</v>
      </c>
      <c r="Z41" s="25">
        <v>413.78066560749096</v>
      </c>
      <c r="AA41" s="25">
        <v>286.93251894932962</v>
      </c>
      <c r="AB41" s="25">
        <v>203.73075068707777</v>
      </c>
    </row>
    <row r="42" spans="2:28">
      <c r="B42" s="33" t="s">
        <v>83</v>
      </c>
      <c r="C42" s="30">
        <v>0</v>
      </c>
      <c r="D42" s="30">
        <v>150.18149130075821</v>
      </c>
      <c r="E42" s="30">
        <v>147.98796148210172</v>
      </c>
      <c r="F42" s="30">
        <v>159.75247009386192</v>
      </c>
      <c r="G42" s="30">
        <v>168.95253945655358</v>
      </c>
      <c r="H42" s="30">
        <v>174.51455961464038</v>
      </c>
      <c r="I42" s="30">
        <v>172.95010848656017</v>
      </c>
      <c r="J42" s="30">
        <v>175.9272578669152</v>
      </c>
      <c r="K42" s="30">
        <v>181.647315877057</v>
      </c>
      <c r="L42" s="30">
        <v>188.45146581666012</v>
      </c>
      <c r="M42" s="30">
        <v>195.89314382352771</v>
      </c>
      <c r="O42" s="33" t="s">
        <v>83</v>
      </c>
      <c r="P42" s="30">
        <v>0</v>
      </c>
      <c r="Q42" s="41">
        <v>0</v>
      </c>
      <c r="R42" s="30">
        <v>0</v>
      </c>
      <c r="S42" s="30">
        <v>150.18149130126554</v>
      </c>
      <c r="T42" s="30">
        <v>147.98796148210172</v>
      </c>
      <c r="U42" s="30">
        <v>160.23250778740265</v>
      </c>
      <c r="V42" s="30">
        <v>169.65176201213544</v>
      </c>
      <c r="W42" s="30">
        <v>174.68535268054922</v>
      </c>
      <c r="X42" s="30">
        <v>172.39521369922389</v>
      </c>
      <c r="Y42" s="30">
        <v>160.48349089763408</v>
      </c>
      <c r="Z42" s="30">
        <v>145.56286023811489</v>
      </c>
      <c r="AA42" s="30">
        <v>125.63361529361974</v>
      </c>
      <c r="AB42" s="30">
        <v>99.957114291419586</v>
      </c>
    </row>
    <row r="43" spans="2:28" ht="15.75" thickBot="1">
      <c r="B43" s="32" t="s">
        <v>84</v>
      </c>
      <c r="C43" s="31">
        <v>4270.4716069702426</v>
      </c>
      <c r="D43" s="51">
        <v>1963.1560545777504</v>
      </c>
      <c r="E43" s="31">
        <v>1863.7869486936961</v>
      </c>
      <c r="F43" s="31">
        <v>1724.3319635228252</v>
      </c>
      <c r="G43" s="51">
        <v>1629.1889307735016</v>
      </c>
      <c r="H43" s="31">
        <v>1572.6880415364267</v>
      </c>
      <c r="I43" s="51">
        <v>1505.3537680380646</v>
      </c>
      <c r="J43" s="31">
        <v>1463.8640361862222</v>
      </c>
      <c r="K43" s="31">
        <v>1434.0472932662583</v>
      </c>
      <c r="L43" s="31">
        <v>1412.63235672307</v>
      </c>
      <c r="M43" s="31">
        <v>1393.8758243135112</v>
      </c>
      <c r="O43" s="32" t="s">
        <v>84</v>
      </c>
      <c r="P43" s="31">
        <v>4537.9236515629809</v>
      </c>
      <c r="Q43" s="43">
        <v>4281.8968192836901</v>
      </c>
      <c r="R43" s="31">
        <v>4269.4292290959002</v>
      </c>
      <c r="S43" s="51">
        <v>1963.3000124976154</v>
      </c>
      <c r="T43" s="31">
        <v>1863.5332308601098</v>
      </c>
      <c r="U43" s="31">
        <v>1758.3519727545493</v>
      </c>
      <c r="V43" s="51">
        <v>1645.6129941267461</v>
      </c>
      <c r="W43" s="31">
        <v>1492.4639570853726</v>
      </c>
      <c r="X43" s="51">
        <v>1326.2469947699503</v>
      </c>
      <c r="Y43" s="31">
        <v>1140.4546549036729</v>
      </c>
      <c r="Z43" s="31">
        <v>891.17033607907217</v>
      </c>
      <c r="AA43" s="31">
        <v>639.46198907402254</v>
      </c>
      <c r="AB43" s="31">
        <v>426.25815732644639</v>
      </c>
    </row>
    <row r="44" spans="2:28">
      <c r="B44" s="139"/>
      <c r="C44" s="140"/>
      <c r="D44" s="140"/>
      <c r="E44" s="140"/>
      <c r="F44" s="140"/>
      <c r="G44" s="141">
        <f>G43/$D$43-1</f>
        <v>-0.17011746112872361</v>
      </c>
      <c r="H44" s="141">
        <f t="shared" ref="H44:M44" si="7">H43/$D$43-1</f>
        <v>-0.19889810192664914</v>
      </c>
      <c r="I44" s="141">
        <f t="shared" si="7"/>
        <v>-0.23319709376754216</v>
      </c>
      <c r="J44" s="141">
        <f t="shared" si="7"/>
        <v>-0.25433129334128235</v>
      </c>
      <c r="K44" s="141">
        <f t="shared" si="7"/>
        <v>-0.2695194608078656</v>
      </c>
      <c r="L44" s="141">
        <f t="shared" si="7"/>
        <v>-0.28042788374920657</v>
      </c>
      <c r="M44" s="141">
        <f t="shared" si="7"/>
        <v>-0.28998215854352138</v>
      </c>
    </row>
    <row r="45" spans="2:28">
      <c r="B45" s="139"/>
      <c r="C45" s="52" t="s">
        <v>376</v>
      </c>
      <c r="D45" s="140"/>
      <c r="E45" s="140"/>
      <c r="F45" s="140"/>
      <c r="G45" s="140"/>
      <c r="H45" s="140"/>
      <c r="I45" s="140"/>
      <c r="J45" s="140"/>
      <c r="K45" s="140"/>
      <c r="L45" s="140"/>
      <c r="M45" s="140"/>
      <c r="O45" s="52" t="s">
        <v>377</v>
      </c>
      <c r="P45" s="140"/>
      <c r="Q45" s="140"/>
      <c r="R45" s="140"/>
      <c r="S45" s="140"/>
      <c r="T45" s="140"/>
    </row>
    <row r="46" spans="2:28">
      <c r="D46" s="49">
        <v>2005</v>
      </c>
      <c r="E46" s="49">
        <v>2010</v>
      </c>
      <c r="F46" s="49">
        <v>2015</v>
      </c>
      <c r="G46" s="49">
        <v>2020</v>
      </c>
      <c r="H46" s="49">
        <v>2025</v>
      </c>
      <c r="I46" s="49">
        <v>2030</v>
      </c>
      <c r="P46" s="49">
        <v>2005</v>
      </c>
      <c r="Q46" s="49">
        <v>2010</v>
      </c>
      <c r="R46" s="49">
        <v>2015</v>
      </c>
      <c r="S46" s="49">
        <v>2020</v>
      </c>
      <c r="T46" s="49">
        <v>2025</v>
      </c>
      <c r="U46" s="49">
        <v>2030</v>
      </c>
    </row>
    <row r="47" spans="2:28">
      <c r="B47" s="113" t="s">
        <v>325</v>
      </c>
      <c r="C47" s="113" t="s">
        <v>383</v>
      </c>
      <c r="D47" s="49">
        <v>940.34</v>
      </c>
      <c r="E47" s="49">
        <v>863.31</v>
      </c>
      <c r="F47" s="49">
        <v>828.69</v>
      </c>
      <c r="G47" s="49">
        <v>740</v>
      </c>
      <c r="H47" s="49">
        <v>700</v>
      </c>
      <c r="I47" s="49">
        <v>650</v>
      </c>
      <c r="J47" s="113" t="s">
        <v>384</v>
      </c>
      <c r="O47" s="113" t="s">
        <v>383</v>
      </c>
      <c r="P47" s="49">
        <f t="shared" ref="P47:U48" si="8">D47</f>
        <v>940.34</v>
      </c>
      <c r="Q47" s="49">
        <f t="shared" si="8"/>
        <v>863.31</v>
      </c>
      <c r="R47" s="49">
        <f t="shared" si="8"/>
        <v>828.69</v>
      </c>
      <c r="S47" s="49">
        <f t="shared" si="8"/>
        <v>740</v>
      </c>
      <c r="T47" s="49">
        <f t="shared" si="8"/>
        <v>700</v>
      </c>
      <c r="U47" s="49">
        <f t="shared" si="8"/>
        <v>650</v>
      </c>
    </row>
    <row r="48" spans="2:28">
      <c r="B48" s="113" t="s">
        <v>325</v>
      </c>
      <c r="C48" s="113" t="s">
        <v>385</v>
      </c>
      <c r="D48" s="49">
        <f>135.6*298/1000+3</f>
        <v>43.408799999999992</v>
      </c>
      <c r="E48" s="49">
        <f>39.9*298/1000+0.9</f>
        <v>12.790199999999999</v>
      </c>
      <c r="F48" s="49">
        <f>14.9*298/1000+0.4</f>
        <v>4.8402000000000003</v>
      </c>
      <c r="G48" s="113">
        <v>5</v>
      </c>
      <c r="H48" s="49">
        <v>5</v>
      </c>
      <c r="I48" s="49">
        <f>F48</f>
        <v>4.8402000000000003</v>
      </c>
      <c r="O48" s="113" t="s">
        <v>385</v>
      </c>
      <c r="P48" s="49">
        <f t="shared" si="8"/>
        <v>43.408799999999992</v>
      </c>
      <c r="Q48" s="49">
        <f t="shared" si="8"/>
        <v>12.790199999999999</v>
      </c>
      <c r="R48" s="49">
        <f t="shared" si="8"/>
        <v>4.8402000000000003</v>
      </c>
      <c r="S48" s="49">
        <f t="shared" si="8"/>
        <v>5</v>
      </c>
      <c r="T48" s="49">
        <f t="shared" si="8"/>
        <v>5</v>
      </c>
      <c r="U48" s="49">
        <f t="shared" si="8"/>
        <v>4.8402000000000003</v>
      </c>
    </row>
    <row r="49" spans="2:21">
      <c r="D49" s="49"/>
      <c r="E49" s="49"/>
      <c r="F49" s="49"/>
      <c r="I49" s="49"/>
      <c r="P49" s="49"/>
      <c r="Q49" s="49"/>
      <c r="R49" s="49"/>
      <c r="U49" s="49"/>
    </row>
    <row r="50" spans="2:21">
      <c r="B50" s="113" t="s">
        <v>129</v>
      </c>
      <c r="C50" s="113" t="s">
        <v>386</v>
      </c>
      <c r="D50" s="49">
        <v>2848.43</v>
      </c>
      <c r="E50" s="49">
        <v>2738.04</v>
      </c>
      <c r="F50" s="49">
        <v>2520.66</v>
      </c>
      <c r="G50" s="49">
        <f>G51+G52</f>
        <v>2364.1889307735019</v>
      </c>
      <c r="H50" s="49">
        <f>H51+H52</f>
        <v>2267.6880415364267</v>
      </c>
      <c r="I50" s="49">
        <f>I51+I52</f>
        <v>2150.5135680380645</v>
      </c>
      <c r="J50" s="140"/>
      <c r="K50" s="140"/>
      <c r="L50" s="140"/>
      <c r="M50" s="140"/>
      <c r="O50" s="113" t="s">
        <v>386</v>
      </c>
      <c r="P50" s="49">
        <f t="shared" ref="P50:R52" si="9">D50</f>
        <v>2848.43</v>
      </c>
      <c r="Q50" s="49">
        <f t="shared" si="9"/>
        <v>2738.04</v>
      </c>
      <c r="R50" s="49">
        <f t="shared" si="9"/>
        <v>2520.66</v>
      </c>
      <c r="S50" s="49">
        <f>S51+S52</f>
        <v>2380.6129941267463</v>
      </c>
      <c r="T50" s="49">
        <f>T51+T52</f>
        <v>2187.4639570853724</v>
      </c>
      <c r="U50" s="49">
        <f>U51+U52</f>
        <v>1971.4067947699505</v>
      </c>
    </row>
    <row r="51" spans="2:21">
      <c r="B51" s="113" t="s">
        <v>387</v>
      </c>
      <c r="C51" s="113" t="s">
        <v>388</v>
      </c>
      <c r="D51" s="49">
        <f t="shared" ref="D51:I51" si="10">D47-D48</f>
        <v>896.93119999999999</v>
      </c>
      <c r="E51" s="49">
        <f t="shared" si="10"/>
        <v>850.51979999999992</v>
      </c>
      <c r="F51" s="49">
        <f t="shared" si="10"/>
        <v>823.84980000000007</v>
      </c>
      <c r="G51" s="49">
        <f t="shared" si="10"/>
        <v>735</v>
      </c>
      <c r="H51" s="49">
        <f t="shared" si="10"/>
        <v>695</v>
      </c>
      <c r="I51" s="49">
        <f t="shared" si="10"/>
        <v>645.15980000000002</v>
      </c>
      <c r="O51" s="113" t="s">
        <v>388</v>
      </c>
      <c r="P51" s="49">
        <f t="shared" si="9"/>
        <v>896.93119999999999</v>
      </c>
      <c r="Q51" s="49">
        <f t="shared" si="9"/>
        <v>850.51979999999992</v>
      </c>
      <c r="R51" s="49">
        <f t="shared" si="9"/>
        <v>823.84980000000007</v>
      </c>
      <c r="S51" s="49">
        <f>S47-S48</f>
        <v>735</v>
      </c>
      <c r="T51" s="49">
        <f>T47-T48</f>
        <v>695</v>
      </c>
      <c r="U51" s="49">
        <f>U47-U48</f>
        <v>645.15980000000002</v>
      </c>
    </row>
    <row r="52" spans="2:21">
      <c r="B52" s="113" t="s">
        <v>387</v>
      </c>
      <c r="C52" s="113" t="s">
        <v>389</v>
      </c>
      <c r="D52" s="49">
        <f>D50-D51</f>
        <v>1951.4987999999998</v>
      </c>
      <c r="E52" s="49">
        <f>E50-E51</f>
        <v>1887.5201999999999</v>
      </c>
      <c r="F52" s="49">
        <f>F50-F51</f>
        <v>1696.8101999999999</v>
      </c>
      <c r="G52" s="49">
        <f>G43</f>
        <v>1629.1889307735016</v>
      </c>
      <c r="H52" s="49">
        <f>H43</f>
        <v>1572.6880415364267</v>
      </c>
      <c r="I52" s="49">
        <f>I43</f>
        <v>1505.3537680380646</v>
      </c>
      <c r="O52" s="113" t="s">
        <v>389</v>
      </c>
      <c r="P52" s="49">
        <f t="shared" si="9"/>
        <v>1951.4987999999998</v>
      </c>
      <c r="Q52" s="49">
        <f t="shared" si="9"/>
        <v>1887.5201999999999</v>
      </c>
      <c r="R52" s="49">
        <f t="shared" si="9"/>
        <v>1696.8101999999999</v>
      </c>
      <c r="S52" s="49">
        <f>V43</f>
        <v>1645.6129941267461</v>
      </c>
      <c r="T52" s="49">
        <f>W43</f>
        <v>1492.4639570853726</v>
      </c>
      <c r="U52" s="49">
        <f>X43</f>
        <v>1326.2469947699503</v>
      </c>
    </row>
    <row r="53" spans="2:21">
      <c r="D53" s="49"/>
    </row>
    <row r="54" spans="2:21">
      <c r="C54" s="113" t="s">
        <v>390</v>
      </c>
    </row>
  </sheetData>
  <mergeCells count="2">
    <mergeCell ref="B36:M36"/>
    <mergeCell ref="O36:AB3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1"/>
  <sheetViews>
    <sheetView topLeftCell="A22" workbookViewId="0">
      <selection activeCell="E19" sqref="E19"/>
    </sheetView>
  </sheetViews>
  <sheetFormatPr defaultRowHeight="15"/>
  <cols>
    <col min="1" max="1" width="14.42578125" customWidth="1"/>
    <col min="2" max="2" width="28.5703125" customWidth="1"/>
    <col min="4" max="4" width="9.7109375" bestFit="1" customWidth="1"/>
    <col min="5" max="5" width="10.5703125" bestFit="1" customWidth="1"/>
    <col min="6" max="6" width="9.85546875" bestFit="1" customWidth="1"/>
    <col min="7" max="7" width="10.85546875" bestFit="1" customWidth="1"/>
    <col min="8" max="8" width="9.5703125" bestFit="1" customWidth="1"/>
    <col min="9" max="9" width="10.5703125" bestFit="1" customWidth="1"/>
    <col min="10" max="10" width="10.7109375" bestFit="1" customWidth="1"/>
    <col min="11" max="11" width="9.85546875" bestFit="1" customWidth="1"/>
    <col min="12" max="12" width="10.85546875" bestFit="1" customWidth="1"/>
    <col min="13" max="13" width="9.85546875" bestFit="1" customWidth="1"/>
    <col min="14" max="14" width="10.7109375" bestFit="1" customWidth="1"/>
    <col min="15" max="15" width="9.85546875" bestFit="1" customWidth="1"/>
    <col min="16" max="16" width="10.85546875" bestFit="1" customWidth="1"/>
    <col min="17" max="17" width="9.85546875" bestFit="1" customWidth="1"/>
    <col min="18" max="18" width="10.85546875" bestFit="1" customWidth="1"/>
    <col min="19" max="19" width="9.7109375" bestFit="1" customWidth="1"/>
    <col min="20" max="20" width="9.5703125" bestFit="1" customWidth="1"/>
    <col min="21" max="21" width="10.7109375" bestFit="1" customWidth="1"/>
    <col min="22" max="22" width="9.5703125" bestFit="1" customWidth="1"/>
    <col min="23" max="23" width="10.85546875" bestFit="1" customWidth="1"/>
    <col min="24" max="24" width="9.5703125" bestFit="1" customWidth="1"/>
    <col min="25" max="25" width="9.85546875" bestFit="1" customWidth="1"/>
    <col min="26" max="26" width="10.7109375" bestFit="1" customWidth="1"/>
    <col min="27" max="27" width="9.85546875" bestFit="1" customWidth="1"/>
    <col min="28" max="28" width="10.85546875" bestFit="1" customWidth="1"/>
    <col min="29" max="31" width="9.85546875" bestFit="1" customWidth="1"/>
    <col min="32" max="32" width="9.5703125" bestFit="1" customWidth="1"/>
    <col min="33" max="33" width="9.85546875" bestFit="1" customWidth="1"/>
    <col min="34" max="34" width="10.7109375" bestFit="1" customWidth="1"/>
    <col min="35" max="35" width="9.28515625" bestFit="1" customWidth="1"/>
    <col min="36" max="36" width="10.5703125" bestFit="1" customWidth="1"/>
  </cols>
  <sheetData>
    <row r="1" spans="1:36">
      <c r="B1" t="s">
        <v>263</v>
      </c>
    </row>
    <row r="3" spans="1:36">
      <c r="B3" t="s">
        <v>162</v>
      </c>
    </row>
    <row r="4" spans="1:36">
      <c r="B4" t="s">
        <v>163</v>
      </c>
    </row>
    <row r="5" spans="1:36">
      <c r="B5" t="s">
        <v>164</v>
      </c>
      <c r="C5" t="s">
        <v>165</v>
      </c>
      <c r="D5" t="s">
        <v>166</v>
      </c>
      <c r="E5" s="120" t="s">
        <v>265</v>
      </c>
      <c r="F5" s="53" t="s">
        <v>48</v>
      </c>
      <c r="G5" s="53" t="s">
        <v>46</v>
      </c>
      <c r="H5" s="53" t="s">
        <v>45</v>
      </c>
      <c r="I5" s="53" t="s">
        <v>44</v>
      </c>
      <c r="J5" s="53" t="s">
        <v>43</v>
      </c>
      <c r="K5" s="53" t="s">
        <v>42</v>
      </c>
      <c r="L5" s="53" t="s">
        <v>41</v>
      </c>
      <c r="M5" s="53" t="s">
        <v>40</v>
      </c>
      <c r="N5" s="53" t="s">
        <v>39</v>
      </c>
      <c r="O5" s="53" t="s">
        <v>38</v>
      </c>
      <c r="P5" s="53" t="s">
        <v>37</v>
      </c>
      <c r="Q5" s="53" t="s">
        <v>36</v>
      </c>
      <c r="R5" s="53" t="s">
        <v>35</v>
      </c>
      <c r="S5" s="53" t="s">
        <v>34</v>
      </c>
      <c r="T5" s="53" t="s">
        <v>33</v>
      </c>
      <c r="U5" s="53" t="s">
        <v>32</v>
      </c>
      <c r="V5" s="53" t="s">
        <v>31</v>
      </c>
      <c r="W5" s="53" t="s">
        <v>30</v>
      </c>
      <c r="X5" s="53" t="s">
        <v>28</v>
      </c>
      <c r="Y5" s="53" t="s">
        <v>27</v>
      </c>
      <c r="Z5" s="53" t="s">
        <v>26</v>
      </c>
      <c r="AA5" s="53" t="s">
        <v>167</v>
      </c>
      <c r="AB5" s="53" t="s">
        <v>22</v>
      </c>
      <c r="AC5" s="53" t="s">
        <v>21</v>
      </c>
      <c r="AD5" s="53" t="s">
        <v>20</v>
      </c>
      <c r="AE5" s="53" t="s">
        <v>19</v>
      </c>
      <c r="AF5" s="53" t="s">
        <v>18</v>
      </c>
      <c r="AG5" s="53" t="s">
        <v>16</v>
      </c>
      <c r="AH5" s="53" t="s">
        <v>15</v>
      </c>
      <c r="AI5" s="53" t="s">
        <v>14</v>
      </c>
      <c r="AJ5" s="53" t="s">
        <v>13</v>
      </c>
    </row>
    <row r="6" spans="1:36">
      <c r="B6" t="s">
        <v>168</v>
      </c>
      <c r="C6" t="s">
        <v>153</v>
      </c>
      <c r="D6" t="s">
        <v>151</v>
      </c>
      <c r="E6" s="49">
        <f t="shared" ref="E6:E16" si="0">SUM(F6:H6,J6:U6,W6:AB6,AD6:AJ6)</f>
        <v>149648.1253322876</v>
      </c>
      <c r="F6" s="54">
        <v>2116.4173911881298</v>
      </c>
      <c r="G6" s="54">
        <v>4616.2244883409303</v>
      </c>
      <c r="H6" s="54">
        <v>547.84879494272695</v>
      </c>
      <c r="I6" s="54">
        <v>2161.6979388093901</v>
      </c>
      <c r="J6" s="54">
        <v>830.89591983079595</v>
      </c>
      <c r="K6" s="54">
        <v>1030.3963364818101</v>
      </c>
      <c r="L6" s="54">
        <v>26165.446044463999</v>
      </c>
      <c r="M6" s="54">
        <v>2627.5590323685601</v>
      </c>
      <c r="N6" s="54">
        <v>113.862440781972</v>
      </c>
      <c r="O6" s="54">
        <v>2754.25965750862</v>
      </c>
      <c r="P6" s="54">
        <v>16172.2327534504</v>
      </c>
      <c r="Q6" s="54">
        <v>2042.2030852806099</v>
      </c>
      <c r="R6" s="54">
        <v>20019.909845238399</v>
      </c>
      <c r="S6" s="54">
        <v>327.23985706760197</v>
      </c>
      <c r="T6" s="54">
        <v>688.33408304806699</v>
      </c>
      <c r="U6" s="54">
        <v>2246.6402833033499</v>
      </c>
      <c r="V6" s="54">
        <v>390.90011572218401</v>
      </c>
      <c r="W6" s="54">
        <v>11633.901669209899</v>
      </c>
      <c r="X6" s="54">
        <v>145.176845525056</v>
      </c>
      <c r="Y6" s="54">
        <v>1292.6257487395301</v>
      </c>
      <c r="Z6" s="54">
        <v>352.535395704964</v>
      </c>
      <c r="AA6" s="54">
        <v>304.65970519695799</v>
      </c>
      <c r="AB6" s="54">
        <v>10417.259390146401</v>
      </c>
      <c r="AC6" s="54">
        <v>2348.4469892771699</v>
      </c>
      <c r="AD6" s="54">
        <v>1535.9057428343599</v>
      </c>
      <c r="AE6" s="54">
        <v>3127.2863911221598</v>
      </c>
      <c r="AF6" s="54">
        <v>831.43983353209399</v>
      </c>
      <c r="AG6" s="54">
        <v>2526.7502112676498</v>
      </c>
      <c r="AH6" s="54">
        <v>81.132325282166704</v>
      </c>
      <c r="AI6" s="54">
        <v>123.956828335496</v>
      </c>
      <c r="AJ6" s="54">
        <v>34976.0252320949</v>
      </c>
    </row>
    <row r="7" spans="1:36">
      <c r="B7" t="s">
        <v>168</v>
      </c>
      <c r="C7" t="s">
        <v>155</v>
      </c>
      <c r="D7" t="s">
        <v>170</v>
      </c>
      <c r="E7" s="49">
        <f t="shared" si="0"/>
        <v>157135.78086577143</v>
      </c>
      <c r="F7" s="54">
        <v>53.399253375845497</v>
      </c>
      <c r="G7" s="54">
        <v>24695.0140165183</v>
      </c>
      <c r="H7" s="54">
        <v>305.78412079218401</v>
      </c>
      <c r="I7" s="54"/>
      <c r="J7" s="54">
        <v>583.46368714128903</v>
      </c>
      <c r="K7" s="54"/>
      <c r="L7" s="54">
        <v>8826.7008551214003</v>
      </c>
      <c r="M7" s="54">
        <v>2181.00103397255</v>
      </c>
      <c r="N7" s="54">
        <v>705.130169216588</v>
      </c>
      <c r="O7" s="54">
        <v>8698.7219974931995</v>
      </c>
      <c r="P7" s="54">
        <v>26888.845760746</v>
      </c>
      <c r="Q7" s="54">
        <v>670.82593741466599</v>
      </c>
      <c r="R7" s="54">
        <v>7884.3282074103099</v>
      </c>
      <c r="S7" s="54">
        <v>21.837982476177999</v>
      </c>
      <c r="T7" s="54"/>
      <c r="U7" s="54">
        <v>255.87773692566901</v>
      </c>
      <c r="V7" s="54">
        <v>181.63275001163001</v>
      </c>
      <c r="W7" s="54">
        <v>9522.3648893194004</v>
      </c>
      <c r="X7" s="54">
        <v>452.40993892035198</v>
      </c>
      <c r="Y7" s="54"/>
      <c r="Z7" s="54">
        <v>798.750816738808</v>
      </c>
      <c r="AA7" s="54">
        <v>4708.1950051602798</v>
      </c>
      <c r="AB7" s="54">
        <v>44301.672854384902</v>
      </c>
      <c r="AC7" s="54">
        <v>1227.24125001177</v>
      </c>
      <c r="AD7" s="54">
        <v>689.54376998005</v>
      </c>
      <c r="AE7" s="54">
        <v>1482.0218810653901</v>
      </c>
      <c r="AF7" s="54">
        <v>357.04737325727899</v>
      </c>
      <c r="AG7" s="54">
        <v>6286.8680023677598</v>
      </c>
      <c r="AH7" s="54">
        <v>91.936101098110001</v>
      </c>
      <c r="AI7" s="54"/>
      <c r="AJ7" s="54">
        <v>6674.0394748749104</v>
      </c>
    </row>
    <row r="8" spans="1:36">
      <c r="B8" t="s">
        <v>171</v>
      </c>
      <c r="C8" t="s">
        <v>153</v>
      </c>
      <c r="D8" t="s">
        <v>151</v>
      </c>
      <c r="E8" s="49">
        <f t="shared" si="0"/>
        <v>143348.05607322176</v>
      </c>
      <c r="F8" s="54">
        <v>2105.9049776524298</v>
      </c>
      <c r="G8" s="54">
        <v>4329.7941453611702</v>
      </c>
      <c r="H8" s="54">
        <v>544.79756498790402</v>
      </c>
      <c r="I8" s="54">
        <v>2161.6979376942299</v>
      </c>
      <c r="J8" s="54">
        <v>830.89591832764199</v>
      </c>
      <c r="K8" s="54">
        <v>775.66077153237597</v>
      </c>
      <c r="L8" s="54">
        <v>23667.734310427</v>
      </c>
      <c r="M8" s="54">
        <v>2584.10020457579</v>
      </c>
      <c r="N8" s="54">
        <v>113.862439430671</v>
      </c>
      <c r="O8" s="54">
        <v>2553.8748321440098</v>
      </c>
      <c r="P8" s="54">
        <v>15131.4101552552</v>
      </c>
      <c r="Q8" s="54">
        <v>2042.20308392575</v>
      </c>
      <c r="R8" s="54">
        <v>19510.9910109054</v>
      </c>
      <c r="S8" s="54">
        <v>327.23985518508499</v>
      </c>
      <c r="T8" s="54">
        <v>688.334074879539</v>
      </c>
      <c r="U8" s="54">
        <v>2246.6402818803099</v>
      </c>
      <c r="V8" s="54">
        <v>390.90011471081903</v>
      </c>
      <c r="W8" s="54">
        <v>11633.9016588463</v>
      </c>
      <c r="X8" s="54">
        <v>145.17684375691499</v>
      </c>
      <c r="Y8" s="54">
        <v>1292.6257467328601</v>
      </c>
      <c r="Z8" s="54">
        <v>352.53539422709201</v>
      </c>
      <c r="AA8" s="54">
        <v>153.659949420771</v>
      </c>
      <c r="AB8" s="54">
        <v>10417.259283031901</v>
      </c>
      <c r="AC8" s="54">
        <v>2348.4469881810901</v>
      </c>
      <c r="AD8" s="54">
        <v>901.33278188843497</v>
      </c>
      <c r="AE8" s="54">
        <v>3099.21088096213</v>
      </c>
      <c r="AF8" s="54">
        <v>831.43981582525396</v>
      </c>
      <c r="AG8" s="54">
        <v>2333.1413923008499</v>
      </c>
      <c r="AH8" s="54">
        <v>81.124914666912403</v>
      </c>
      <c r="AI8" s="54">
        <v>113.451373658471</v>
      </c>
      <c r="AJ8" s="54">
        <v>34539.752411433597</v>
      </c>
    </row>
    <row r="9" spans="1:36">
      <c r="B9" t="s">
        <v>171</v>
      </c>
      <c r="C9" t="s">
        <v>155</v>
      </c>
      <c r="D9" t="s">
        <v>170</v>
      </c>
      <c r="E9" s="49">
        <f t="shared" si="0"/>
        <v>157135.78086076514</v>
      </c>
      <c r="F9" s="54">
        <v>53.399250837591303</v>
      </c>
      <c r="G9" s="54">
        <v>24695.0140165107</v>
      </c>
      <c r="H9" s="54">
        <v>305.78412077668401</v>
      </c>
      <c r="I9" s="54"/>
      <c r="J9" s="54">
        <v>583.46368712627304</v>
      </c>
      <c r="K9" s="54"/>
      <c r="L9" s="54">
        <v>8826.7008551082308</v>
      </c>
      <c r="M9" s="54">
        <v>2181.0010339579098</v>
      </c>
      <c r="N9" s="54">
        <v>705.13016919926395</v>
      </c>
      <c r="O9" s="54">
        <v>8698.7219974682102</v>
      </c>
      <c r="P9" s="54">
        <v>26888.845760706801</v>
      </c>
      <c r="Q9" s="54">
        <v>670.82593740609195</v>
      </c>
      <c r="R9" s="54">
        <v>7884.3282073963201</v>
      </c>
      <c r="S9" s="54">
        <v>21.8379824607199</v>
      </c>
      <c r="T9" s="54"/>
      <c r="U9" s="54">
        <v>255.877736916386</v>
      </c>
      <c r="V9" s="54">
        <v>181.63275000351601</v>
      </c>
      <c r="W9" s="54">
        <v>9522.3648893072896</v>
      </c>
      <c r="X9" s="54">
        <v>452.40993890614999</v>
      </c>
      <c r="Y9" s="54"/>
      <c r="Z9" s="54">
        <v>798.75081672058104</v>
      </c>
      <c r="AA9" s="54">
        <v>4708.1950051394597</v>
      </c>
      <c r="AB9" s="54">
        <v>44301.672854328099</v>
      </c>
      <c r="AC9" s="54">
        <v>1227.2412500031901</v>
      </c>
      <c r="AD9" s="54">
        <v>689.54376996528299</v>
      </c>
      <c r="AE9" s="54">
        <v>1482.0218810510701</v>
      </c>
      <c r="AF9" s="54">
        <v>357.04737324460399</v>
      </c>
      <c r="AG9" s="54">
        <v>6286.8680023541901</v>
      </c>
      <c r="AH9" s="54">
        <v>91.936099014185601</v>
      </c>
      <c r="AI9" s="54"/>
      <c r="AJ9" s="54">
        <v>6674.0394748630497</v>
      </c>
    </row>
    <row r="10" spans="1:36">
      <c r="E10" s="49"/>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row>
    <row r="11" spans="1:36">
      <c r="E11" s="49"/>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row>
    <row r="12" spans="1:36">
      <c r="A12" s="52" t="s">
        <v>174</v>
      </c>
      <c r="B12" t="s">
        <v>172</v>
      </c>
      <c r="E12" s="49"/>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row>
    <row r="13" spans="1:36">
      <c r="A13" s="52" t="s">
        <v>175</v>
      </c>
      <c r="B13" t="s">
        <v>163</v>
      </c>
      <c r="E13" s="49"/>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row>
    <row r="14" spans="1:36">
      <c r="A14" s="52" t="s">
        <v>176</v>
      </c>
      <c r="B14" t="s">
        <v>8</v>
      </c>
      <c r="C14" t="s">
        <v>173</v>
      </c>
      <c r="E14" s="120" t="s">
        <v>265</v>
      </c>
      <c r="F14" s="53" t="s">
        <v>48</v>
      </c>
      <c r="G14" s="53" t="s">
        <v>46</v>
      </c>
      <c r="H14" s="53" t="s">
        <v>45</v>
      </c>
      <c r="I14" s="53" t="s">
        <v>44</v>
      </c>
      <c r="J14" s="53" t="s">
        <v>43</v>
      </c>
      <c r="K14" s="53" t="s">
        <v>42</v>
      </c>
      <c r="L14" s="53" t="s">
        <v>41</v>
      </c>
      <c r="M14" s="53" t="s">
        <v>40</v>
      </c>
      <c r="N14" s="53" t="s">
        <v>39</v>
      </c>
      <c r="O14" s="53" t="s">
        <v>38</v>
      </c>
      <c r="P14" s="53" t="s">
        <v>37</v>
      </c>
      <c r="Q14" s="53" t="s">
        <v>36</v>
      </c>
      <c r="R14" s="53" t="s">
        <v>35</v>
      </c>
      <c r="S14" s="53" t="s">
        <v>34</v>
      </c>
      <c r="T14" s="53" t="s">
        <v>33</v>
      </c>
      <c r="U14" s="53" t="s">
        <v>32</v>
      </c>
      <c r="V14" s="53" t="s">
        <v>31</v>
      </c>
      <c r="W14" s="53" t="s">
        <v>30</v>
      </c>
      <c r="X14" s="53" t="s">
        <v>28</v>
      </c>
      <c r="Y14" s="53" t="s">
        <v>27</v>
      </c>
      <c r="Z14" s="53" t="s">
        <v>26</v>
      </c>
      <c r="AA14" s="53" t="s">
        <v>167</v>
      </c>
      <c r="AB14" s="53" t="s">
        <v>22</v>
      </c>
      <c r="AC14" s="53" t="s">
        <v>21</v>
      </c>
      <c r="AD14" s="53" t="s">
        <v>20</v>
      </c>
      <c r="AE14" s="53" t="s">
        <v>19</v>
      </c>
      <c r="AF14" s="53" t="s">
        <v>18</v>
      </c>
      <c r="AG14" s="53" t="s">
        <v>16</v>
      </c>
      <c r="AH14" s="53" t="s">
        <v>15</v>
      </c>
      <c r="AI14" s="53" t="s">
        <v>14</v>
      </c>
      <c r="AJ14" s="53" t="s">
        <v>13</v>
      </c>
    </row>
    <row r="15" spans="1:36">
      <c r="A15" s="52" t="s">
        <v>177</v>
      </c>
      <c r="B15" t="s">
        <v>169</v>
      </c>
      <c r="C15" t="s">
        <v>168</v>
      </c>
      <c r="E15" s="49">
        <f t="shared" si="0"/>
        <v>2162917.955835043</v>
      </c>
      <c r="F15" s="54">
        <v>44223.226445704699</v>
      </c>
      <c r="G15" s="54">
        <v>98145.413461047501</v>
      </c>
      <c r="H15" s="54">
        <v>12028.729727338599</v>
      </c>
      <c r="I15" s="54">
        <v>36923.707792148598</v>
      </c>
      <c r="J15" s="54">
        <v>4635.7467343793596</v>
      </c>
      <c r="K15" s="54">
        <v>35919.166264553904</v>
      </c>
      <c r="L15" s="54">
        <v>385519.07465393102</v>
      </c>
      <c r="M15" s="54">
        <v>26870.9342529266</v>
      </c>
      <c r="N15" s="54">
        <v>3950.3392958713998</v>
      </c>
      <c r="O15" s="54">
        <v>46317.7843624448</v>
      </c>
      <c r="P15" s="54">
        <v>177258.49652028899</v>
      </c>
      <c r="Q15" s="54">
        <v>26352.150197528401</v>
      </c>
      <c r="R15" s="54">
        <v>281314.37010729901</v>
      </c>
      <c r="S15" s="54">
        <v>11299.4464253201</v>
      </c>
      <c r="T15" s="54">
        <v>28548.791379214101</v>
      </c>
      <c r="U15" s="54">
        <v>28056.204471368801</v>
      </c>
      <c r="V15" s="54">
        <v>4942.2146451015496</v>
      </c>
      <c r="W15" s="54">
        <v>241966.196120131</v>
      </c>
      <c r="X15" s="54">
        <v>6878.7733049223298</v>
      </c>
      <c r="Y15" s="54">
        <v>9672.8241971880107</v>
      </c>
      <c r="Z15" s="54">
        <v>5906.9855561336899</v>
      </c>
      <c r="AA15" s="54">
        <v>5668.6649443946499</v>
      </c>
      <c r="AB15" s="54">
        <v>141805.51535624801</v>
      </c>
      <c r="AC15" s="54">
        <v>24900.533491301299</v>
      </c>
      <c r="AD15" s="54">
        <v>123022.69233850999</v>
      </c>
      <c r="AE15" s="54">
        <v>30735.956240777399</v>
      </c>
      <c r="AF15" s="54">
        <v>29958.568158358499</v>
      </c>
      <c r="AG15" s="54">
        <v>35880.134791808501</v>
      </c>
      <c r="AH15" s="54">
        <v>8942.1190484691106</v>
      </c>
      <c r="AI15" s="54">
        <v>15330.359160354699</v>
      </c>
      <c r="AJ15" s="54">
        <v>296709.29231852997</v>
      </c>
    </row>
    <row r="16" spans="1:36">
      <c r="A16" s="52" t="s">
        <v>153</v>
      </c>
      <c r="B16" t="s">
        <v>169</v>
      </c>
      <c r="C16" t="s">
        <v>171</v>
      </c>
      <c r="E16" s="49">
        <f t="shared" si="0"/>
        <v>1969101.9338783431</v>
      </c>
      <c r="F16" s="54">
        <v>40912.431023265599</v>
      </c>
      <c r="G16" s="54">
        <v>88540.305185523393</v>
      </c>
      <c r="H16" s="54">
        <v>12070.474705182</v>
      </c>
      <c r="I16" s="54">
        <v>32329.756325355302</v>
      </c>
      <c r="J16" s="54">
        <v>3918.9920516645502</v>
      </c>
      <c r="K16" s="54">
        <v>35052.053715304297</v>
      </c>
      <c r="L16" s="54">
        <v>352920.48547397199</v>
      </c>
      <c r="M16" s="54">
        <v>24985.028015599</v>
      </c>
      <c r="N16" s="54">
        <v>3974.48719863418</v>
      </c>
      <c r="O16" s="54">
        <v>41145.8255268668</v>
      </c>
      <c r="P16" s="54">
        <v>161220.379985434</v>
      </c>
      <c r="Q16" s="54">
        <v>22987.2788302722</v>
      </c>
      <c r="R16" s="54">
        <v>262706.68822486402</v>
      </c>
      <c r="S16" s="54">
        <v>10531.5826500317</v>
      </c>
      <c r="T16" s="54">
        <v>27530.258826845398</v>
      </c>
      <c r="U16" s="54">
        <v>25007.3509328863</v>
      </c>
      <c r="V16" s="54">
        <v>4351.4963194089196</v>
      </c>
      <c r="W16" s="54">
        <v>218222.128601709</v>
      </c>
      <c r="X16" s="54">
        <v>8241.8341506069391</v>
      </c>
      <c r="Y16" s="54">
        <v>8990.5342884053407</v>
      </c>
      <c r="Z16" s="54">
        <v>6057.36308540545</v>
      </c>
      <c r="AA16" s="54">
        <v>4883.8103886010904</v>
      </c>
      <c r="AB16" s="54">
        <v>134363.216543113</v>
      </c>
      <c r="AC16" s="54">
        <v>22137.405101451001</v>
      </c>
      <c r="AD16" s="54">
        <v>101611.929231576</v>
      </c>
      <c r="AE16" s="54">
        <v>26277.0305631513</v>
      </c>
      <c r="AF16" s="54">
        <v>29372.031284270201</v>
      </c>
      <c r="AG16" s="54">
        <v>35313.344395831198</v>
      </c>
      <c r="AH16" s="54">
        <v>8037.3904681160002</v>
      </c>
      <c r="AI16" s="54">
        <v>14205.1683221856</v>
      </c>
      <c r="AJ16" s="54">
        <v>260022.530209027</v>
      </c>
    </row>
    <row r="17" spans="1:36">
      <c r="E17" s="49"/>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row>
    <row r="18" spans="1:36">
      <c r="A18" s="52" t="s">
        <v>322</v>
      </c>
      <c r="B18" t="s">
        <v>321</v>
      </c>
      <c r="E18" s="49"/>
    </row>
    <row r="19" spans="1:36">
      <c r="B19" t="s">
        <v>163</v>
      </c>
      <c r="E19" s="49"/>
    </row>
    <row r="20" spans="1:36">
      <c r="B20" t="s">
        <v>8</v>
      </c>
      <c r="C20" t="s">
        <v>173</v>
      </c>
      <c r="E20" s="120" t="s">
        <v>265</v>
      </c>
      <c r="F20" t="s">
        <v>48</v>
      </c>
      <c r="G20" t="s">
        <v>46</v>
      </c>
      <c r="H20" t="s">
        <v>45</v>
      </c>
      <c r="I20" t="s">
        <v>44</v>
      </c>
      <c r="J20" t="s">
        <v>43</v>
      </c>
      <c r="K20" t="s">
        <v>42</v>
      </c>
      <c r="L20" t="s">
        <v>41</v>
      </c>
      <c r="M20" t="s">
        <v>40</v>
      </c>
      <c r="N20" t="s">
        <v>39</v>
      </c>
      <c r="O20" t="s">
        <v>38</v>
      </c>
      <c r="P20" t="s">
        <v>37</v>
      </c>
      <c r="Q20" t="s">
        <v>36</v>
      </c>
      <c r="R20" t="s">
        <v>35</v>
      </c>
      <c r="S20" t="s">
        <v>34</v>
      </c>
      <c r="T20" t="s">
        <v>33</v>
      </c>
      <c r="U20" t="s">
        <v>32</v>
      </c>
      <c r="V20" t="s">
        <v>31</v>
      </c>
      <c r="W20" t="s">
        <v>30</v>
      </c>
      <c r="X20" t="s">
        <v>28</v>
      </c>
      <c r="Y20" t="s">
        <v>27</v>
      </c>
      <c r="Z20" t="s">
        <v>26</v>
      </c>
      <c r="AA20" t="s">
        <v>167</v>
      </c>
      <c r="AB20" t="s">
        <v>22</v>
      </c>
      <c r="AC20" t="s">
        <v>21</v>
      </c>
      <c r="AD20" t="s">
        <v>20</v>
      </c>
      <c r="AE20" t="s">
        <v>19</v>
      </c>
      <c r="AF20" t="s">
        <v>18</v>
      </c>
      <c r="AG20" t="s">
        <v>16</v>
      </c>
      <c r="AH20" t="s">
        <v>15</v>
      </c>
      <c r="AI20" t="s">
        <v>14</v>
      </c>
      <c r="AJ20" t="s">
        <v>13</v>
      </c>
    </row>
    <row r="21" spans="1:36">
      <c r="B21" t="s">
        <v>169</v>
      </c>
      <c r="C21" t="s">
        <v>168</v>
      </c>
      <c r="E21" s="49">
        <f>SUM(F21:H21,J21:U21,W21:AB21,AD21:AJ21)</f>
        <v>3973429.7578660776</v>
      </c>
      <c r="F21" s="49">
        <v>80412.273585866598</v>
      </c>
      <c r="G21" s="49">
        <v>135513.93904012401</v>
      </c>
      <c r="H21" s="49">
        <v>40402.137791650697</v>
      </c>
      <c r="I21" s="49">
        <v>41163.710927483902</v>
      </c>
      <c r="J21" s="49">
        <v>9306.0791728404802</v>
      </c>
      <c r="K21" s="49">
        <v>112844.594395138</v>
      </c>
      <c r="L21" s="49">
        <v>816043.09566118801</v>
      </c>
      <c r="M21" s="49">
        <v>52868.0322832237</v>
      </c>
      <c r="N21" s="49">
        <v>11660.5527426231</v>
      </c>
      <c r="O21" s="49">
        <v>95113.4545326894</v>
      </c>
      <c r="P21" s="49">
        <v>301416.100358525</v>
      </c>
      <c r="Q21" s="49">
        <v>72829.181010681597</v>
      </c>
      <c r="R21" s="49">
        <v>359290.87065435899</v>
      </c>
      <c r="S21" s="49">
        <v>19405.966319715801</v>
      </c>
      <c r="T21" s="49">
        <v>46189.729895630502</v>
      </c>
      <c r="U21" s="49">
        <v>43392.974753542199</v>
      </c>
      <c r="V21" s="49">
        <v>5250.9536818243996</v>
      </c>
      <c r="W21" s="49">
        <v>408607.39678678598</v>
      </c>
      <c r="X21" s="49">
        <v>14704.862597835199</v>
      </c>
      <c r="Y21" s="49">
        <v>11413.825372273601</v>
      </c>
      <c r="Z21" s="49">
        <v>8182.4569705600998</v>
      </c>
      <c r="AA21" s="49">
        <v>6626.1205209033496</v>
      </c>
      <c r="AB21" s="49">
        <v>219997.10083886699</v>
      </c>
      <c r="AC21" s="49">
        <v>45752.773922898399</v>
      </c>
      <c r="AD21" s="49">
        <v>326800.06579254998</v>
      </c>
      <c r="AE21" s="49">
        <v>55667.043598849901</v>
      </c>
      <c r="AF21" s="49">
        <v>70777.959496742595</v>
      </c>
      <c r="AG21" s="49">
        <v>64012.699720589801</v>
      </c>
      <c r="AH21" s="49">
        <v>14652.4105267049</v>
      </c>
      <c r="AI21" s="49">
        <v>36714.665444563703</v>
      </c>
      <c r="AJ21" s="49">
        <v>538584.16800105397</v>
      </c>
    </row>
    <row r="22" spans="1:36">
      <c r="B22" t="s">
        <v>169</v>
      </c>
      <c r="C22" t="s">
        <v>171</v>
      </c>
      <c r="E22" s="49">
        <f t="shared" ref="E22:E48" si="1">SUM(F22:H22,J22:U22,W22:AB22,AD22:AJ22)</f>
        <v>3682693.7300313599</v>
      </c>
      <c r="F22" s="49">
        <v>74214.000079288206</v>
      </c>
      <c r="G22" s="49">
        <v>115528.888175322</v>
      </c>
      <c r="H22" s="49">
        <v>33704.0067826546</v>
      </c>
      <c r="I22" s="49">
        <v>36659.982813730698</v>
      </c>
      <c r="J22" s="49">
        <v>8862.7971064328704</v>
      </c>
      <c r="K22" s="49">
        <v>102549.011930648</v>
      </c>
      <c r="L22" s="49">
        <v>803611.91778366501</v>
      </c>
      <c r="M22" s="49">
        <v>53343.696231515903</v>
      </c>
      <c r="N22" s="49">
        <v>11263.0752068315</v>
      </c>
      <c r="O22" s="49">
        <v>84015.867895211195</v>
      </c>
      <c r="P22" s="49">
        <v>294223.34095992002</v>
      </c>
      <c r="Q22" s="49">
        <v>53185.502072041701</v>
      </c>
      <c r="R22" s="49">
        <v>352648.01928042399</v>
      </c>
      <c r="S22" s="49">
        <v>20296.682592054502</v>
      </c>
      <c r="T22" s="49">
        <v>40116.236960234201</v>
      </c>
      <c r="U22" s="49">
        <v>39013.520786988403</v>
      </c>
      <c r="V22" s="49">
        <v>4588.5952490370501</v>
      </c>
      <c r="W22" s="49">
        <v>356071.66150546097</v>
      </c>
      <c r="X22" s="49">
        <v>12614.379172786699</v>
      </c>
      <c r="Y22" s="49">
        <v>12829.4657104501</v>
      </c>
      <c r="Z22" s="49">
        <v>7897.8509448223003</v>
      </c>
      <c r="AA22" s="49">
        <v>6686.6632224024397</v>
      </c>
      <c r="AB22" s="49">
        <v>210755.49807249699</v>
      </c>
      <c r="AC22" s="49">
        <v>44729.257189518103</v>
      </c>
      <c r="AD22" s="49">
        <v>298782.31150398101</v>
      </c>
      <c r="AE22" s="49">
        <v>52949.071976603103</v>
      </c>
      <c r="AF22" s="49">
        <v>59841.573426660398</v>
      </c>
      <c r="AG22" s="49">
        <v>61660.481379561701</v>
      </c>
      <c r="AH22" s="49">
        <v>14486.7493079418</v>
      </c>
      <c r="AI22" s="49">
        <v>30318.2320903535</v>
      </c>
      <c r="AJ22" s="49">
        <v>471223.22787460801</v>
      </c>
    </row>
    <row r="23" spans="1:36">
      <c r="E23" s="49"/>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row>
    <row r="24" spans="1:36">
      <c r="E24" s="49"/>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row>
    <row r="25" spans="1:36">
      <c r="E25" s="120" t="s">
        <v>265</v>
      </c>
      <c r="F25" s="53" t="s">
        <v>48</v>
      </c>
      <c r="G25" s="53" t="s">
        <v>46</v>
      </c>
      <c r="H25" s="53" t="s">
        <v>45</v>
      </c>
      <c r="I25" s="53" t="s">
        <v>44</v>
      </c>
      <c r="J25" s="53" t="s">
        <v>43</v>
      </c>
      <c r="K25" s="53" t="s">
        <v>42</v>
      </c>
      <c r="L25" s="53" t="s">
        <v>41</v>
      </c>
      <c r="M25" s="53" t="s">
        <v>40</v>
      </c>
      <c r="N25" s="53" t="s">
        <v>39</v>
      </c>
      <c r="O25" s="53" t="s">
        <v>38</v>
      </c>
      <c r="P25" s="53" t="s">
        <v>37</v>
      </c>
      <c r="Q25" s="53" t="s">
        <v>36</v>
      </c>
      <c r="R25" s="53" t="s">
        <v>35</v>
      </c>
      <c r="S25" s="53" t="s">
        <v>34</v>
      </c>
      <c r="T25" s="53" t="s">
        <v>33</v>
      </c>
      <c r="U25" s="53" t="s">
        <v>32</v>
      </c>
      <c r="V25" s="53" t="s">
        <v>31</v>
      </c>
      <c r="W25" s="53" t="s">
        <v>30</v>
      </c>
      <c r="X25" s="53" t="s">
        <v>28</v>
      </c>
      <c r="Y25" s="53" t="s">
        <v>27</v>
      </c>
      <c r="Z25" s="53" t="s">
        <v>26</v>
      </c>
      <c r="AA25" s="53" t="s">
        <v>167</v>
      </c>
      <c r="AB25" s="53" t="s">
        <v>22</v>
      </c>
      <c r="AC25" s="53" t="s">
        <v>21</v>
      </c>
      <c r="AD25" s="53" t="s">
        <v>20</v>
      </c>
      <c r="AE25" s="53" t="s">
        <v>19</v>
      </c>
      <c r="AF25" s="53" t="s">
        <v>18</v>
      </c>
      <c r="AG25" s="53" t="s">
        <v>16</v>
      </c>
      <c r="AH25" s="53" t="s">
        <v>15</v>
      </c>
      <c r="AI25" s="53" t="s">
        <v>14</v>
      </c>
      <c r="AJ25" s="53" t="s">
        <v>13</v>
      </c>
    </row>
    <row r="26" spans="1:36">
      <c r="A26" t="s">
        <v>327</v>
      </c>
      <c r="B26" t="s">
        <v>178</v>
      </c>
      <c r="C26" s="47" t="s">
        <v>168</v>
      </c>
      <c r="E26" s="49">
        <f t="shared" si="1"/>
        <v>1856.1340496369839</v>
      </c>
      <c r="F26" s="54">
        <f>(F15-F6-F7)/1000</f>
        <v>42.053409801140724</v>
      </c>
      <c r="G26" s="54">
        <f t="shared" ref="G26:AJ26" si="2">(G15-G6-G7)/1000</f>
        <v>68.834174956188278</v>
      </c>
      <c r="H26" s="54">
        <f t="shared" si="2"/>
        <v>11.175096811603687</v>
      </c>
      <c r="I26" s="54">
        <f t="shared" si="2"/>
        <v>34.762009853339208</v>
      </c>
      <c r="J26" s="54">
        <f t="shared" si="2"/>
        <v>3.221387127407275</v>
      </c>
      <c r="K26" s="54">
        <f t="shared" si="2"/>
        <v>34.888769928072094</v>
      </c>
      <c r="L26" s="54">
        <f t="shared" si="2"/>
        <v>350.52692775434559</v>
      </c>
      <c r="M26" s="54">
        <f t="shared" si="2"/>
        <v>22.06237418658549</v>
      </c>
      <c r="N26" s="54">
        <f t="shared" si="2"/>
        <v>3.1313466858728396</v>
      </c>
      <c r="O26" s="54">
        <f t="shared" si="2"/>
        <v>34.864802707442976</v>
      </c>
      <c r="P26" s="54">
        <f>(P15-P6-P7)/1000</f>
        <v>134.19741800609259</v>
      </c>
      <c r="Q26" s="54">
        <f t="shared" si="2"/>
        <v>23.639121174833125</v>
      </c>
      <c r="R26" s="54">
        <f t="shared" si="2"/>
        <v>253.41013205465029</v>
      </c>
      <c r="S26" s="54">
        <f t="shared" si="2"/>
        <v>10.950368585776321</v>
      </c>
      <c r="T26" s="54">
        <f t="shared" si="2"/>
        <v>27.860457296166036</v>
      </c>
      <c r="U26" s="54">
        <f t="shared" si="2"/>
        <v>25.553686451139782</v>
      </c>
      <c r="V26" s="54">
        <f t="shared" si="2"/>
        <v>4.3696817793677356</v>
      </c>
      <c r="W26" s="54">
        <f t="shared" si="2"/>
        <v>220.80992956160168</v>
      </c>
      <c r="X26" s="54">
        <f t="shared" si="2"/>
        <v>6.2811865204769219</v>
      </c>
      <c r="Y26" s="54">
        <f t="shared" si="2"/>
        <v>8.3801984484484802</v>
      </c>
      <c r="Z26" s="54">
        <f t="shared" si="2"/>
        <v>4.7556993436899182</v>
      </c>
      <c r="AA26" s="54">
        <f t="shared" si="2"/>
        <v>0.65581023403741168</v>
      </c>
      <c r="AB26" s="54">
        <f t="shared" si="2"/>
        <v>87.086583111716692</v>
      </c>
      <c r="AC26" s="54">
        <f t="shared" si="2"/>
        <v>21.324845252012356</v>
      </c>
      <c r="AD26" s="54">
        <f t="shared" si="2"/>
        <v>120.79724282569558</v>
      </c>
      <c r="AE26" s="54">
        <f t="shared" si="2"/>
        <v>26.126647968589847</v>
      </c>
      <c r="AF26" s="54">
        <f t="shared" si="2"/>
        <v>28.770080951569124</v>
      </c>
      <c r="AG26" s="54">
        <f t="shared" si="2"/>
        <v>27.06651657817309</v>
      </c>
      <c r="AH26" s="54">
        <f t="shared" si="2"/>
        <v>8.769050622088832</v>
      </c>
      <c r="AI26" s="54">
        <f t="shared" si="2"/>
        <v>15.206402332019202</v>
      </c>
      <c r="AJ26" s="54">
        <f t="shared" si="2"/>
        <v>255.05922761156017</v>
      </c>
    </row>
    <row r="27" spans="1:36">
      <c r="C27" s="47" t="s">
        <v>171</v>
      </c>
      <c r="E27" s="49">
        <f t="shared" si="1"/>
        <v>1668.6180969443565</v>
      </c>
      <c r="F27" s="54">
        <f>(F16-F8-F9)/1000</f>
        <v>38.753126794775575</v>
      </c>
      <c r="G27" s="54">
        <f t="shared" ref="G27:AJ27" si="3">(G16-G8-G9)/1000</f>
        <v>59.51549702365152</v>
      </c>
      <c r="H27" s="54">
        <f t="shared" si="3"/>
        <v>11.219893019417412</v>
      </c>
      <c r="I27" s="54">
        <f t="shared" si="3"/>
        <v>30.168058387661073</v>
      </c>
      <c r="J27" s="54">
        <f t="shared" si="3"/>
        <v>2.5046324462106351</v>
      </c>
      <c r="K27" s="54">
        <f t="shared" si="3"/>
        <v>34.276392943771917</v>
      </c>
      <c r="L27" s="54">
        <f t="shared" si="3"/>
        <v>320.4260503084368</v>
      </c>
      <c r="M27" s="54">
        <f t="shared" si="3"/>
        <v>20.219926777065304</v>
      </c>
      <c r="N27" s="54">
        <f t="shared" si="3"/>
        <v>3.155494590004245</v>
      </c>
      <c r="O27" s="54">
        <f t="shared" si="3"/>
        <v>29.893228697254585</v>
      </c>
      <c r="P27" s="54">
        <f t="shared" si="3"/>
        <v>119.200124069472</v>
      </c>
      <c r="Q27" s="54">
        <f t="shared" si="3"/>
        <v>20.274249808940361</v>
      </c>
      <c r="R27" s="54">
        <f t="shared" si="3"/>
        <v>235.3113690065623</v>
      </c>
      <c r="S27" s="54">
        <f t="shared" si="3"/>
        <v>10.182504812385893</v>
      </c>
      <c r="T27" s="54">
        <f t="shared" si="3"/>
        <v>26.841924751965859</v>
      </c>
      <c r="U27" s="54">
        <f t="shared" si="3"/>
        <v>22.504832914089601</v>
      </c>
      <c r="V27" s="54">
        <f t="shared" si="3"/>
        <v>3.7789634546945843</v>
      </c>
      <c r="W27" s="54">
        <f t="shared" si="3"/>
        <v>197.06586205355541</v>
      </c>
      <c r="X27" s="54">
        <f t="shared" si="3"/>
        <v>7.6442473679438736</v>
      </c>
      <c r="Y27" s="54">
        <f t="shared" si="3"/>
        <v>7.6979085416724811</v>
      </c>
      <c r="Z27" s="54">
        <f t="shared" si="3"/>
        <v>4.9060768744577761</v>
      </c>
      <c r="AA27" s="54">
        <f t="shared" si="3"/>
        <v>2.1955434040859471E-2</v>
      </c>
      <c r="AB27" s="54">
        <f t="shared" si="3"/>
        <v>79.644284405752984</v>
      </c>
      <c r="AC27" s="54">
        <f t="shared" si="3"/>
        <v>18.561716863266721</v>
      </c>
      <c r="AD27" s="54">
        <f t="shared" si="3"/>
        <v>100.02105267972229</v>
      </c>
      <c r="AE27" s="54">
        <f t="shared" si="3"/>
        <v>21.695797801138099</v>
      </c>
      <c r="AF27" s="54">
        <f t="shared" si="3"/>
        <v>28.18354409520034</v>
      </c>
      <c r="AG27" s="54">
        <f t="shared" si="3"/>
        <v>26.693335001176159</v>
      </c>
      <c r="AH27" s="54">
        <f t="shared" si="3"/>
        <v>7.8643294544349018</v>
      </c>
      <c r="AI27" s="54">
        <f t="shared" si="3"/>
        <v>14.091716948527131</v>
      </c>
      <c r="AJ27" s="54">
        <f t="shared" si="3"/>
        <v>218.80873832273036</v>
      </c>
    </row>
    <row r="28" spans="1:36" s="113" customFormat="1">
      <c r="E28" s="49"/>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row>
    <row r="29" spans="1:36">
      <c r="A29" t="s">
        <v>324</v>
      </c>
      <c r="B29" t="s">
        <v>323</v>
      </c>
      <c r="C29">
        <v>2005</v>
      </c>
      <c r="E29" s="49">
        <f t="shared" si="1"/>
        <v>2848.4600000000009</v>
      </c>
      <c r="F29" s="49">
        <f>VLOOKUP(F25,Eurostat!$B$6:$M$34,2,0)</f>
        <v>56.67</v>
      </c>
      <c r="G29" s="49">
        <f>VLOOKUP(G25,Eurostat!$B$6:$M$34,2,0)</f>
        <v>78.2</v>
      </c>
      <c r="H29" s="49">
        <f>VLOOKUP(H25,Eurostat!$B$6:$M$34,2,0)</f>
        <v>24.57</v>
      </c>
      <c r="I29" s="49"/>
      <c r="J29" s="49">
        <f>VLOOKUP(J25,Eurostat!$B$6:$M$34,2,0)</f>
        <v>4.18</v>
      </c>
      <c r="K29" s="49">
        <f>VLOOKUP(K25,Eurostat!$B$6:$M$34,2,0)</f>
        <v>62.55</v>
      </c>
      <c r="L29" s="49">
        <f>VLOOKUP(L25,Eurostat!$B$6:$M$34,2,0)</f>
        <v>468.44</v>
      </c>
      <c r="M29" s="49">
        <f>VLOOKUP(M25,Eurostat!$B$6:$M$34,2,0)</f>
        <v>40.08</v>
      </c>
      <c r="N29" s="49">
        <f>VLOOKUP(N25,Eurostat!$B$6:$M$34,2,0)</f>
        <v>5.43</v>
      </c>
      <c r="O29" s="49">
        <f>VLOOKUP(O25,Eurostat!$B$6:$M$34,2,0)</f>
        <v>61.78</v>
      </c>
      <c r="P29" s="49">
        <f>VLOOKUP(P25,Eurostat!$B$6:$M$34,2,0)</f>
        <v>233.84</v>
      </c>
      <c r="Q29" s="49">
        <f>VLOOKUP(Q25,Eurostat!$B$6:$M$34,2,0)</f>
        <v>33.6</v>
      </c>
      <c r="R29" s="49">
        <f>VLOOKUP(R25,Eurostat!$B$6:$M$34,2,0)</f>
        <v>395.59</v>
      </c>
      <c r="S29" s="49">
        <f>VLOOKUP(S25,Eurostat!$B$6:$M$34,2,0)</f>
        <v>16.82</v>
      </c>
      <c r="T29" s="49">
        <f>VLOOKUP(T25,Eurostat!$B$6:$M$34,2,0)</f>
        <v>46.38</v>
      </c>
      <c r="U29" s="49">
        <f>VLOOKUP(U25,Eurostat!$B$6:$M$34,2,0)</f>
        <v>47.52</v>
      </c>
      <c r="V29" s="49"/>
      <c r="W29" s="49">
        <f>VLOOKUP(W25,Eurostat!$B$6:$M$34,2,0)</f>
        <v>329.14</v>
      </c>
      <c r="X29" s="49">
        <f>VLOOKUP(X25,Eurostat!$B$6:$M$34,2,0)</f>
        <v>10.78</v>
      </c>
      <c r="Y29" s="49">
        <f>VLOOKUP(Y25,Eurostat!$B$6:$M$34,2,0)</f>
        <v>10.130000000000001</v>
      </c>
      <c r="Z29" s="49">
        <f>VLOOKUP(Z25,Eurostat!$B$6:$M$34,2,0)</f>
        <v>8.52</v>
      </c>
      <c r="AA29" s="49">
        <f>VLOOKUP(AA25,Eurostat!$B$6:$M$34,2,0)</f>
        <v>1.03</v>
      </c>
      <c r="AB29" s="49">
        <f>VLOOKUP(AB25,Eurostat!$B$6:$M$34,2,0)</f>
        <v>122.88</v>
      </c>
      <c r="AC29" s="49"/>
      <c r="AD29" s="49">
        <f>VLOOKUP(AD25,Eurostat!$B$6:$M$34,2,0)</f>
        <v>176.01</v>
      </c>
      <c r="AE29" s="49">
        <f>VLOOKUP(AE25,Eurostat!$B$6:$M$34,2,0)</f>
        <v>49.53</v>
      </c>
      <c r="AF29" s="49">
        <f>VLOOKUP(AF25,Eurostat!$B$6:$M$34,2,0)</f>
        <v>73.03</v>
      </c>
      <c r="AG29" s="49">
        <f>VLOOKUP(AG25,Eurostat!$B$6:$M$34,2,0)</f>
        <v>42.9</v>
      </c>
      <c r="AH29" s="49">
        <f>VLOOKUP(AH25,Eurostat!$B$6:$M$34,2,0)</f>
        <v>11.85</v>
      </c>
      <c r="AI29" s="49">
        <f>VLOOKUP(AI25,Eurostat!$B$6:$M$34,2,0)</f>
        <v>22.3</v>
      </c>
      <c r="AJ29" s="49">
        <f>VLOOKUP(AJ25,Eurostat!$B$6:$M$34,2,0)</f>
        <v>414.71</v>
      </c>
    </row>
    <row r="30" spans="1:36">
      <c r="C30">
        <v>2010</v>
      </c>
      <c r="E30" s="49">
        <f t="shared" si="1"/>
        <v>2738.0299999999997</v>
      </c>
      <c r="F30" s="49">
        <f>VLOOKUP(F25,Eurostat!$B$6:$M$34,7,0)</f>
        <v>52.06</v>
      </c>
      <c r="G30" s="49">
        <f>VLOOKUP(G25,Eurostat!$B$6:$M$34,7,0)</f>
        <v>78.48</v>
      </c>
      <c r="H30" s="49">
        <f>VLOOKUP(H25,Eurostat!$B$6:$M$34,7,0)</f>
        <v>24.73</v>
      </c>
      <c r="I30" s="49"/>
      <c r="J30" s="49">
        <f>VLOOKUP(J25,Eurostat!$B$6:$M$34,7,0)</f>
        <v>4.46</v>
      </c>
      <c r="K30" s="49">
        <f>VLOOKUP(K25,Eurostat!$B$6:$M$34,7,0)</f>
        <v>61.69</v>
      </c>
      <c r="L30" s="49">
        <f>VLOOKUP(L25,Eurostat!$B$6:$M$34,7,0)</f>
        <v>457.84</v>
      </c>
      <c r="M30" s="49">
        <f>VLOOKUP(M25,Eurostat!$B$6:$M$34,7,0)</f>
        <v>38.159999999999997</v>
      </c>
      <c r="N30" s="49">
        <f>VLOOKUP(N25,Eurostat!$B$6:$M$34,7,0)</f>
        <v>5.4</v>
      </c>
      <c r="O30" s="49">
        <f>VLOOKUP(O25,Eurostat!$B$6:$M$34,7,0)</f>
        <v>56.06</v>
      </c>
      <c r="P30" s="49">
        <f>VLOOKUP(P25,Eurostat!$B$6:$M$34,7,0)</f>
        <v>226.8</v>
      </c>
      <c r="Q30" s="49">
        <f>VLOOKUP(Q25,Eurostat!$B$6:$M$34,7,0)</f>
        <v>33.71</v>
      </c>
      <c r="R30" s="49">
        <f>VLOOKUP(R25,Eurostat!$B$6:$M$34,7,0)</f>
        <v>382.05</v>
      </c>
      <c r="S30" s="49">
        <f>VLOOKUP(S25,Eurostat!$B$6:$M$34,7,0)</f>
        <v>16.72</v>
      </c>
      <c r="T30" s="49">
        <f>VLOOKUP(T25,Eurostat!$B$6:$M$34,7,0)</f>
        <v>42.52</v>
      </c>
      <c r="U30" s="49">
        <f>VLOOKUP(U25,Eurostat!$B$6:$M$34,7,0)</f>
        <v>44.53</v>
      </c>
      <c r="V30" s="49"/>
      <c r="W30" s="49">
        <f>VLOOKUP(W25,Eurostat!$B$6:$M$34,7,0)</f>
        <v>306.56</v>
      </c>
      <c r="X30" s="49">
        <f>VLOOKUP(X25,Eurostat!$B$6:$M$34,7,0)</f>
        <v>10.87</v>
      </c>
      <c r="Y30" s="49">
        <f>VLOOKUP(Y25,Eurostat!$B$6:$M$34,7,0)</f>
        <v>9.68</v>
      </c>
      <c r="Z30" s="49">
        <f>VLOOKUP(Z25,Eurostat!$B$6:$M$34,7,0)</f>
        <v>9.1199999999999992</v>
      </c>
      <c r="AA30" s="49">
        <f>VLOOKUP(AA25,Eurostat!$B$6:$M$34,7,0)</f>
        <v>1.22</v>
      </c>
      <c r="AB30" s="49">
        <f>VLOOKUP(AB25,Eurostat!$B$6:$M$34,7,0)</f>
        <v>127.36</v>
      </c>
      <c r="AC30" s="49"/>
      <c r="AD30" s="49">
        <f>VLOOKUP(AD25,Eurostat!$B$6:$M$34,7,0)</f>
        <v>194.73</v>
      </c>
      <c r="AE30" s="49">
        <f>VLOOKUP(AE25,Eurostat!$B$6:$M$34,7,0)</f>
        <v>44.92</v>
      </c>
      <c r="AF30" s="49">
        <f>VLOOKUP(AF25,Eurostat!$B$6:$M$34,7,0)</f>
        <v>64.23</v>
      </c>
      <c r="AG30" s="49">
        <f>VLOOKUP(AG25,Eurostat!$B$6:$M$34,7,0)</f>
        <v>39.86</v>
      </c>
      <c r="AH30" s="49">
        <f>VLOOKUP(AH25,Eurostat!$B$6:$M$34,7,0)</f>
        <v>11.53</v>
      </c>
      <c r="AI30" s="49">
        <f>VLOOKUP(AI25,Eurostat!$B$6:$M$34,7,0)</f>
        <v>23.24</v>
      </c>
      <c r="AJ30" s="49">
        <f>VLOOKUP(AJ25,Eurostat!$B$6:$M$34,7,0)</f>
        <v>369.5</v>
      </c>
    </row>
    <row r="31" spans="1:36">
      <c r="C31">
        <v>2015</v>
      </c>
      <c r="E31" s="49">
        <f t="shared" si="1"/>
        <v>2520.64</v>
      </c>
      <c r="F31" s="49">
        <f>VLOOKUP(F25,Eurostat!$B$6:$M$34,12,0)</f>
        <v>49.25</v>
      </c>
      <c r="G31" s="49">
        <f>VLOOKUP(G25,Eurostat!$B$6:$M$34,12,0)</f>
        <v>72.98</v>
      </c>
      <c r="H31" s="49">
        <f>VLOOKUP(H25,Eurostat!$B$6:$M$34,12,0)</f>
        <v>23.31</v>
      </c>
      <c r="I31" s="49"/>
      <c r="J31" s="49">
        <f>VLOOKUP(J25,Eurostat!$B$6:$M$34,12,0)</f>
        <v>4.34</v>
      </c>
      <c r="K31" s="49">
        <f>VLOOKUP(K25,Eurostat!$B$6:$M$34,12,0)</f>
        <v>56.62</v>
      </c>
      <c r="L31" s="49">
        <f>VLOOKUP(L25,Eurostat!$B$6:$M$34,12,0)</f>
        <v>448.74</v>
      </c>
      <c r="M31" s="49">
        <f>VLOOKUP(M25,Eurostat!$B$6:$M$34,12,0)</f>
        <v>32.4</v>
      </c>
      <c r="N31" s="49">
        <f>VLOOKUP(N25,Eurostat!$B$6:$M$34,12,0)</f>
        <v>5.68</v>
      </c>
      <c r="O31" s="49">
        <f>VLOOKUP(O25,Eurostat!$B$6:$M$34,12,0)</f>
        <v>44.52</v>
      </c>
      <c r="P31" s="49">
        <f>VLOOKUP(P25,Eurostat!$B$6:$M$34,12,0)</f>
        <v>199.41</v>
      </c>
      <c r="Q31" s="49">
        <f>VLOOKUP(Q25,Eurostat!$B$6:$M$34,12,0)</f>
        <v>29.99</v>
      </c>
      <c r="R31" s="49">
        <f>VLOOKUP(R25,Eurostat!$B$6:$M$34,12,0)</f>
        <v>365.1</v>
      </c>
      <c r="S31" s="49">
        <f>VLOOKUP(S25,Eurostat!$B$6:$M$34,12,0)</f>
        <v>14.11</v>
      </c>
      <c r="T31" s="49">
        <f>VLOOKUP(T25,Eurostat!$B$6:$M$34,12,0)</f>
        <v>41</v>
      </c>
      <c r="U31" s="49">
        <f>VLOOKUP(U25,Eurostat!$B$6:$M$34,12,0)</f>
        <v>43.59</v>
      </c>
      <c r="V31" s="49"/>
      <c r="W31" s="49">
        <f>VLOOKUP(W25,Eurostat!$B$6:$M$34,12,0)</f>
        <v>272.42</v>
      </c>
      <c r="X31" s="49">
        <f>VLOOKUP(X25,Eurostat!$B$6:$M$34,12,0)</f>
        <v>12.12</v>
      </c>
      <c r="Y31" s="49">
        <f>VLOOKUP(Y25,Eurostat!$B$6:$M$34,12,0)</f>
        <v>8.8000000000000007</v>
      </c>
      <c r="Z31" s="49">
        <f>VLOOKUP(Z25,Eurostat!$B$6:$M$34,12,0)</f>
        <v>9.23</v>
      </c>
      <c r="AA31" s="49">
        <f>VLOOKUP(AA25,Eurostat!$B$6:$M$34,12,0)</f>
        <v>1.38</v>
      </c>
      <c r="AB31" s="49">
        <f>VLOOKUP(AB25,Eurostat!$B$6:$M$34,12,0)</f>
        <v>102</v>
      </c>
      <c r="AC31" s="49"/>
      <c r="AD31" s="49">
        <f>VLOOKUP(AD25,Eurostat!$B$6:$M$34,12,0)</f>
        <v>181.58</v>
      </c>
      <c r="AE31" s="49">
        <f>VLOOKUP(AE25,Eurostat!$B$6:$M$34,12,0)</f>
        <v>38.61</v>
      </c>
      <c r="AF31" s="49">
        <f>VLOOKUP(AF25,Eurostat!$B$6:$M$34,12,0)</f>
        <v>69.989999999999995</v>
      </c>
      <c r="AG31" s="49">
        <f>VLOOKUP(AG25,Eurostat!$B$6:$M$34,12,0)</f>
        <v>33.979999999999997</v>
      </c>
      <c r="AH31" s="49">
        <f>VLOOKUP(AH25,Eurostat!$B$6:$M$34,12,0)</f>
        <v>10.65</v>
      </c>
      <c r="AI31" s="49">
        <f>VLOOKUP(AI25,Eurostat!$B$6:$M$34,12,0)</f>
        <v>20.190000000000001</v>
      </c>
      <c r="AJ31" s="49">
        <f>VLOOKUP(AJ25,Eurostat!$B$6:$M$34,12,0)</f>
        <v>328.65</v>
      </c>
    </row>
    <row r="32" spans="1:36" s="113" customFormat="1">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row>
    <row r="33" spans="1:37">
      <c r="E33" s="49"/>
      <c r="AK33" s="113"/>
    </row>
    <row r="34" spans="1:37">
      <c r="A34" t="s">
        <v>326</v>
      </c>
      <c r="B34" t="s">
        <v>736</v>
      </c>
      <c r="C34">
        <v>2005</v>
      </c>
      <c r="E34" s="49">
        <f t="shared" si="1"/>
        <v>1951.7639175351064</v>
      </c>
      <c r="F34" s="49">
        <v>45.521159429919649</v>
      </c>
      <c r="G34" s="49">
        <v>60.369683791666759</v>
      </c>
      <c r="H34" s="49">
        <v>14.564470742395979</v>
      </c>
      <c r="I34" s="49"/>
      <c r="J34" s="49">
        <v>2.8914039267326253</v>
      </c>
      <c r="K34" s="49">
        <v>43.384837409308837</v>
      </c>
      <c r="L34" s="49">
        <v>348.45442972226101</v>
      </c>
      <c r="M34" s="49">
        <v>22.955457534476235</v>
      </c>
      <c r="N34" s="49">
        <v>3.2005419556946721</v>
      </c>
      <c r="O34" s="49">
        <v>39.323633333718419</v>
      </c>
      <c r="P34" s="49">
        <v>162.12245733686458</v>
      </c>
      <c r="Q34" s="49">
        <v>23.670800717609271</v>
      </c>
      <c r="R34" s="49">
        <v>254.53328351537331</v>
      </c>
      <c r="S34" s="49">
        <v>11.185806385783398</v>
      </c>
      <c r="T34" s="49">
        <v>32.596968850241964</v>
      </c>
      <c r="U34" s="49">
        <v>24.705378067291591</v>
      </c>
      <c r="V34" s="49"/>
      <c r="W34" s="49">
        <v>241.57533751522891</v>
      </c>
      <c r="X34" s="49">
        <v>6.2033761860510772</v>
      </c>
      <c r="Y34" s="49">
        <v>9.009047339004784</v>
      </c>
      <c r="Z34" s="49">
        <v>4.8944312165381891</v>
      </c>
      <c r="AA34" s="49">
        <v>0.66701874466909727</v>
      </c>
      <c r="AB34" s="49">
        <v>86.764010826863924</v>
      </c>
      <c r="AC34" s="49"/>
      <c r="AD34" s="49">
        <v>110.4987105059939</v>
      </c>
      <c r="AE34" s="49">
        <v>31.507949565473599</v>
      </c>
      <c r="AF34" s="49">
        <v>32.864418376888921</v>
      </c>
      <c r="AG34" s="49">
        <v>30.282470616192892</v>
      </c>
      <c r="AH34" s="49">
        <v>7.9608398095340256</v>
      </c>
      <c r="AI34" s="49">
        <v>17.594726348450617</v>
      </c>
      <c r="AJ34" s="49">
        <v>282.46126776487768</v>
      </c>
    </row>
    <row r="35" spans="1:37">
      <c r="C35" s="113">
        <v>2010</v>
      </c>
      <c r="E35" s="49">
        <f t="shared" si="1"/>
        <v>1857.2425773926948</v>
      </c>
      <c r="F35" s="49">
        <v>41.725964188376317</v>
      </c>
      <c r="G35" s="49">
        <v>59.142075348884248</v>
      </c>
      <c r="H35" s="49">
        <v>13.482898325768595</v>
      </c>
      <c r="I35" s="49"/>
      <c r="J35" s="49">
        <v>2.9623409013403696</v>
      </c>
      <c r="K35" s="49">
        <v>40.234537266457153</v>
      </c>
      <c r="L35" s="49">
        <v>338.48232895338236</v>
      </c>
      <c r="M35" s="49">
        <v>22.323631079058273</v>
      </c>
      <c r="N35" s="49">
        <v>3.0110828417995688</v>
      </c>
      <c r="O35" s="49">
        <v>34.344444202443981</v>
      </c>
      <c r="P35" s="49">
        <v>148.67638374509588</v>
      </c>
      <c r="Q35" s="49">
        <v>23.704898946349982</v>
      </c>
      <c r="R35" s="49">
        <v>239.61881846487773</v>
      </c>
      <c r="S35" s="49">
        <v>11.031647155283293</v>
      </c>
      <c r="T35" s="49">
        <v>27.15335468803692</v>
      </c>
      <c r="U35" s="49">
        <v>23.445353201658079</v>
      </c>
      <c r="V35" s="49"/>
      <c r="W35" s="49">
        <v>214.75641665025358</v>
      </c>
      <c r="X35" s="49">
        <v>6.200110822366681</v>
      </c>
      <c r="Y35" s="49">
        <v>8.5568879121682784</v>
      </c>
      <c r="Z35" s="49">
        <v>5.2431803893780362</v>
      </c>
      <c r="AA35" s="49">
        <v>0.64075927996702542</v>
      </c>
      <c r="AB35" s="49">
        <v>88.436357395662327</v>
      </c>
      <c r="AC35" s="49"/>
      <c r="AD35" s="49">
        <v>131.47620960717586</v>
      </c>
      <c r="AE35" s="49">
        <v>27.574459689958069</v>
      </c>
      <c r="AF35" s="49">
        <v>29.882492568561382</v>
      </c>
      <c r="AG35" s="49">
        <v>27.638305341628236</v>
      </c>
      <c r="AH35" s="49">
        <v>7.9793362167861392</v>
      </c>
      <c r="AI35" s="49">
        <v>18.129878935129799</v>
      </c>
      <c r="AJ35" s="49">
        <v>261.38842327484662</v>
      </c>
    </row>
    <row r="36" spans="1:37">
      <c r="C36" s="113">
        <v>2015</v>
      </c>
      <c r="E36" s="49">
        <f t="shared" si="1"/>
        <v>1751.028849183949</v>
      </c>
      <c r="F36" s="49">
        <v>38.333732034877322</v>
      </c>
      <c r="G36" s="49">
        <v>56.285325705937197</v>
      </c>
      <c r="H36" s="49">
        <v>13.194354164394966</v>
      </c>
      <c r="I36" s="49"/>
      <c r="J36" s="49">
        <v>2.5892424081432077</v>
      </c>
      <c r="K36" s="49">
        <v>39.712392335837677</v>
      </c>
      <c r="L36" s="49">
        <v>324.14872420927134</v>
      </c>
      <c r="M36" s="49">
        <v>19.191014309324842</v>
      </c>
      <c r="N36" s="49">
        <v>3.1970475948378092</v>
      </c>
      <c r="O36" s="49">
        <v>29.197742896230224</v>
      </c>
      <c r="P36" s="49">
        <v>131.0763990835693</v>
      </c>
      <c r="Q36" s="49">
        <v>20.246874409680274</v>
      </c>
      <c r="R36" s="49">
        <v>226.94999956621052</v>
      </c>
      <c r="S36" s="49">
        <v>10.099304549321133</v>
      </c>
      <c r="T36" s="49">
        <v>26.123462670980935</v>
      </c>
      <c r="U36" s="49">
        <v>21.132736840210256</v>
      </c>
      <c r="V36" s="49"/>
      <c r="W36" s="49">
        <v>203.69646660635419</v>
      </c>
      <c r="X36" s="49">
        <v>6.1160645189432321</v>
      </c>
      <c r="Y36" s="49">
        <v>8.4961246981829266</v>
      </c>
      <c r="Z36" s="49">
        <v>4.8251251465779399</v>
      </c>
      <c r="AA36" s="49">
        <v>0.65194669258362592</v>
      </c>
      <c r="AB36" s="49">
        <v>84.360542882420901</v>
      </c>
      <c r="AC36" s="49"/>
      <c r="AD36" s="49">
        <v>126.3354096986635</v>
      </c>
      <c r="AE36" s="49">
        <v>23.959913447336717</v>
      </c>
      <c r="AF36" s="49">
        <v>32.309527826696417</v>
      </c>
      <c r="AG36" s="49">
        <v>24.116226120775718</v>
      </c>
      <c r="AH36" s="49">
        <v>7.2827457478213899</v>
      </c>
      <c r="AI36" s="49">
        <v>16.918781120962919</v>
      </c>
      <c r="AJ36" s="49">
        <v>250.48162189780288</v>
      </c>
    </row>
    <row r="37" spans="1:37">
      <c r="E37" s="49"/>
      <c r="F37" s="113"/>
      <c r="G37" s="113"/>
      <c r="H37" s="113"/>
      <c r="I37" s="113"/>
      <c r="J37" s="113"/>
      <c r="K37" s="113"/>
      <c r="L37" s="113"/>
      <c r="N37" s="113"/>
      <c r="O37" s="113"/>
      <c r="P37" s="113"/>
      <c r="Q37" s="113"/>
      <c r="R37" s="113"/>
      <c r="S37" s="113"/>
      <c r="T37" s="113"/>
      <c r="U37" s="113"/>
      <c r="V37" s="113"/>
      <c r="W37" s="113"/>
      <c r="X37" s="113"/>
      <c r="Y37" s="113"/>
      <c r="Z37" s="113"/>
      <c r="AA37" s="113"/>
      <c r="AB37" s="113"/>
      <c r="AC37" s="113"/>
      <c r="AD37" s="113"/>
      <c r="AE37" s="113"/>
      <c r="AF37" s="113"/>
      <c r="AG37" s="113"/>
    </row>
    <row r="38" spans="1:37">
      <c r="E38" s="49"/>
    </row>
    <row r="39" spans="1:37">
      <c r="A39" s="113" t="s">
        <v>327</v>
      </c>
      <c r="B39" t="s">
        <v>328</v>
      </c>
      <c r="C39" s="113">
        <v>2010</v>
      </c>
      <c r="E39" s="49">
        <f t="shared" si="1"/>
        <v>1810.5118020310351</v>
      </c>
      <c r="F39" s="49">
        <f t="shared" ref="F39:AJ39" si="4">(F21-F15)/1000</f>
        <v>36.189047140161897</v>
      </c>
      <c r="G39" s="49">
        <f t="shared" si="4"/>
        <v>37.368525579076511</v>
      </c>
      <c r="H39" s="49">
        <f t="shared" si="4"/>
        <v>28.373408064312098</v>
      </c>
      <c r="I39" s="49">
        <f t="shared" si="4"/>
        <v>4.2400031353353045</v>
      </c>
      <c r="J39" s="49">
        <f t="shared" si="4"/>
        <v>4.6703324384611209</v>
      </c>
      <c r="K39" s="49">
        <f t="shared" si="4"/>
        <v>76.925428130584095</v>
      </c>
      <c r="L39" s="49">
        <f t="shared" si="4"/>
        <v>430.52402100725698</v>
      </c>
      <c r="M39" s="49">
        <f t="shared" si="4"/>
        <v>25.997098030297099</v>
      </c>
      <c r="N39" s="49">
        <f t="shared" si="4"/>
        <v>7.7102134467517009</v>
      </c>
      <c r="O39" s="49">
        <f t="shared" si="4"/>
        <v>48.795670170244598</v>
      </c>
      <c r="P39" s="49">
        <f t="shared" si="4"/>
        <v>124.15760383823601</v>
      </c>
      <c r="Q39" s="49">
        <f t="shared" si="4"/>
        <v>46.477030813153192</v>
      </c>
      <c r="R39" s="49">
        <f t="shared" si="4"/>
        <v>77.976500547059985</v>
      </c>
      <c r="S39" s="49">
        <f t="shared" si="4"/>
        <v>8.1065198943957011</v>
      </c>
      <c r="T39" s="49">
        <f t="shared" si="4"/>
        <v>17.640938516416401</v>
      </c>
      <c r="U39" s="49">
        <f t="shared" si="4"/>
        <v>15.336770282173399</v>
      </c>
      <c r="V39" s="49">
        <f t="shared" si="4"/>
        <v>0.30873903672284997</v>
      </c>
      <c r="W39" s="49">
        <f t="shared" si="4"/>
        <v>166.64120066665498</v>
      </c>
      <c r="X39" s="49">
        <f t="shared" si="4"/>
        <v>7.8260892929128696</v>
      </c>
      <c r="Y39" s="49">
        <f t="shared" si="4"/>
        <v>1.74100117508559</v>
      </c>
      <c r="Z39" s="49">
        <f t="shared" si="4"/>
        <v>2.2754714144264097</v>
      </c>
      <c r="AA39" s="49">
        <f t="shared" si="4"/>
        <v>0.95745557650869972</v>
      </c>
      <c r="AB39" s="49">
        <f t="shared" si="4"/>
        <v>78.191585482618976</v>
      </c>
      <c r="AC39" s="49">
        <f t="shared" si="4"/>
        <v>20.8522404315971</v>
      </c>
      <c r="AD39" s="49">
        <f t="shared" si="4"/>
        <v>203.77737345403997</v>
      </c>
      <c r="AE39" s="49">
        <f t="shared" si="4"/>
        <v>24.931087358072503</v>
      </c>
      <c r="AF39" s="49">
        <f t="shared" si="4"/>
        <v>40.819391338384101</v>
      </c>
      <c r="AG39" s="49">
        <f t="shared" si="4"/>
        <v>28.132564928781299</v>
      </c>
      <c r="AH39" s="49">
        <f t="shared" si="4"/>
        <v>5.7102914782357894</v>
      </c>
      <c r="AI39" s="49">
        <f t="shared" si="4"/>
        <v>21.384306284209003</v>
      </c>
      <c r="AJ39" s="49">
        <f t="shared" si="4"/>
        <v>241.87487568252399</v>
      </c>
    </row>
    <row r="40" spans="1:37">
      <c r="B40" t="s">
        <v>329</v>
      </c>
      <c r="C40" s="113">
        <v>2015</v>
      </c>
      <c r="E40" s="49">
        <f t="shared" si="1"/>
        <v>1713.5917961530174</v>
      </c>
      <c r="F40" s="49">
        <f t="shared" ref="F40:AJ40" si="5">(F22-F16)/1000</f>
        <v>33.301569056022608</v>
      </c>
      <c r="G40" s="49">
        <f t="shared" si="5"/>
        <v>26.988582989798612</v>
      </c>
      <c r="H40" s="49">
        <f t="shared" si="5"/>
        <v>21.633532077472598</v>
      </c>
      <c r="I40" s="49">
        <f t="shared" si="5"/>
        <v>4.3302264883753958</v>
      </c>
      <c r="J40" s="49">
        <f t="shared" si="5"/>
        <v>4.9438050547683199</v>
      </c>
      <c r="K40" s="49">
        <f t="shared" si="5"/>
        <v>67.49695821534371</v>
      </c>
      <c r="L40" s="49">
        <f t="shared" si="5"/>
        <v>450.69143230969303</v>
      </c>
      <c r="M40" s="49">
        <f t="shared" si="5"/>
        <v>28.358668215916904</v>
      </c>
      <c r="N40" s="49">
        <f t="shared" si="5"/>
        <v>7.2885880081973191</v>
      </c>
      <c r="O40" s="49">
        <f t="shared" si="5"/>
        <v>42.870042368344393</v>
      </c>
      <c r="P40" s="49">
        <f t="shared" si="5"/>
        <v>133.00296097448603</v>
      </c>
      <c r="Q40" s="49">
        <f t="shared" si="5"/>
        <v>30.198223241769501</v>
      </c>
      <c r="R40" s="49">
        <f t="shared" si="5"/>
        <v>89.941331055559971</v>
      </c>
      <c r="S40" s="49">
        <f t="shared" si="5"/>
        <v>9.7650999420228022</v>
      </c>
      <c r="T40" s="49">
        <f t="shared" si="5"/>
        <v>12.585978133388803</v>
      </c>
      <c r="U40" s="49">
        <f t="shared" si="5"/>
        <v>14.006169854102103</v>
      </c>
      <c r="V40" s="49">
        <f t="shared" si="5"/>
        <v>0.23709892962813045</v>
      </c>
      <c r="W40" s="49">
        <f t="shared" si="5"/>
        <v>137.84953290375196</v>
      </c>
      <c r="X40" s="49">
        <f t="shared" si="5"/>
        <v>4.3725450221797599</v>
      </c>
      <c r="Y40" s="49">
        <f t="shared" si="5"/>
        <v>3.8389314220447597</v>
      </c>
      <c r="Z40" s="49">
        <f t="shared" si="5"/>
        <v>1.8404878594168503</v>
      </c>
      <c r="AA40" s="49">
        <f t="shared" si="5"/>
        <v>1.8028528338013494</v>
      </c>
      <c r="AB40" s="49">
        <f t="shared" si="5"/>
        <v>76.392281529383993</v>
      </c>
      <c r="AC40" s="49">
        <f t="shared" si="5"/>
        <v>22.591852088067103</v>
      </c>
      <c r="AD40" s="49">
        <f t="shared" si="5"/>
        <v>197.17038227240502</v>
      </c>
      <c r="AE40" s="49">
        <f t="shared" si="5"/>
        <v>26.672041413451804</v>
      </c>
      <c r="AF40" s="49">
        <f t="shared" si="5"/>
        <v>30.469542142390196</v>
      </c>
      <c r="AG40" s="49">
        <f t="shared" si="5"/>
        <v>26.347136983730504</v>
      </c>
      <c r="AH40" s="49">
        <f t="shared" si="5"/>
        <v>6.4493588398258002</v>
      </c>
      <c r="AI40" s="49">
        <f t="shared" si="5"/>
        <v>16.113063768167901</v>
      </c>
      <c r="AJ40" s="49">
        <f t="shared" si="5"/>
        <v>211.200697665581</v>
      </c>
    </row>
    <row r="41" spans="1:37">
      <c r="E41" s="49"/>
    </row>
    <row r="42" spans="1:37">
      <c r="E42" s="49"/>
    </row>
    <row r="43" spans="1:37">
      <c r="E43" s="49"/>
    </row>
    <row r="44" spans="1:37">
      <c r="A44" t="s">
        <v>298</v>
      </c>
      <c r="B44" t="s">
        <v>330</v>
      </c>
      <c r="E44" s="120" t="s">
        <v>265</v>
      </c>
      <c r="F44" s="53" t="s">
        <v>48</v>
      </c>
      <c r="G44" s="53" t="s">
        <v>46</v>
      </c>
      <c r="H44" s="53" t="s">
        <v>45</v>
      </c>
      <c r="J44" s="53" t="s">
        <v>43</v>
      </c>
      <c r="K44" s="53" t="s">
        <v>42</v>
      </c>
      <c r="L44" s="53" t="s">
        <v>41</v>
      </c>
      <c r="M44" s="53" t="s">
        <v>40</v>
      </c>
      <c r="N44" s="53" t="s">
        <v>39</v>
      </c>
      <c r="O44" s="53" t="s">
        <v>38</v>
      </c>
      <c r="P44" s="53" t="s">
        <v>37</v>
      </c>
      <c r="Q44" s="53" t="s">
        <v>36</v>
      </c>
      <c r="R44" s="53" t="s">
        <v>35</v>
      </c>
      <c r="S44" s="53" t="s">
        <v>34</v>
      </c>
      <c r="T44" s="53" t="s">
        <v>33</v>
      </c>
      <c r="U44" s="53" t="s">
        <v>32</v>
      </c>
      <c r="V44" s="53" t="s">
        <v>31</v>
      </c>
      <c r="W44" s="53" t="s">
        <v>30</v>
      </c>
      <c r="X44" s="53" t="s">
        <v>28</v>
      </c>
      <c r="Y44" s="53" t="s">
        <v>27</v>
      </c>
      <c r="Z44" s="53" t="s">
        <v>26</v>
      </c>
      <c r="AA44" s="53" t="s">
        <v>23</v>
      </c>
      <c r="AB44" s="53" t="s">
        <v>22</v>
      </c>
      <c r="AC44" s="53" t="s">
        <v>21</v>
      </c>
      <c r="AD44" s="53" t="s">
        <v>20</v>
      </c>
      <c r="AE44" s="53" t="s">
        <v>19</v>
      </c>
      <c r="AF44" s="53" t="s">
        <v>18</v>
      </c>
      <c r="AG44" s="53" t="s">
        <v>16</v>
      </c>
      <c r="AH44" s="53" t="s">
        <v>15</v>
      </c>
      <c r="AI44" s="53" t="s">
        <v>14</v>
      </c>
      <c r="AJ44" s="53" t="s">
        <v>13</v>
      </c>
    </row>
    <row r="45" spans="1:37">
      <c r="C45">
        <v>2005</v>
      </c>
      <c r="E45" s="49">
        <f t="shared" si="1"/>
        <v>2014.0780000000004</v>
      </c>
      <c r="F45" s="49">
        <v>33.372999999999998</v>
      </c>
      <c r="G45" s="49">
        <v>55.363</v>
      </c>
      <c r="H45" s="49"/>
      <c r="J45" s="49">
        <v>5.0789999999999997</v>
      </c>
      <c r="K45" s="49">
        <v>82.454999999999998</v>
      </c>
      <c r="L45" s="49">
        <v>475.05200000000002</v>
      </c>
      <c r="M45" s="49">
        <v>26.475999999999999</v>
      </c>
      <c r="N45" s="49">
        <v>12.622</v>
      </c>
      <c r="O45" s="49">
        <v>71.268000000000001</v>
      </c>
      <c r="P45" s="49">
        <v>183.62700000000001</v>
      </c>
      <c r="Q45" s="49">
        <v>33.1</v>
      </c>
      <c r="R45" s="49">
        <v>131.26400000000001</v>
      </c>
      <c r="S45" s="49"/>
      <c r="T45" s="49">
        <v>26.161999999999999</v>
      </c>
      <c r="U45" s="49">
        <v>22.440999999999999</v>
      </c>
      <c r="V45" s="49"/>
      <c r="W45" s="49">
        <v>225.989</v>
      </c>
      <c r="X45" s="49">
        <v>6.6040000000000001</v>
      </c>
      <c r="Y45" s="49">
        <v>2.6030000000000002</v>
      </c>
      <c r="Z45" s="49">
        <v>2.8540000000000001</v>
      </c>
      <c r="AA45" s="49">
        <v>1.9710000000000001</v>
      </c>
      <c r="AB45" s="49">
        <v>80.350999999999999</v>
      </c>
      <c r="AC45" s="49"/>
      <c r="AD45" s="49">
        <v>203.15</v>
      </c>
      <c r="AE45" s="49">
        <v>36.426000000000002</v>
      </c>
      <c r="AF45" s="49"/>
      <c r="AG45" s="49">
        <v>19.382000000000001</v>
      </c>
      <c r="AH45" s="49">
        <v>8.7210000000000001</v>
      </c>
      <c r="AI45" s="49">
        <v>25.231999999999999</v>
      </c>
      <c r="AJ45" s="49">
        <v>242.51300000000001</v>
      </c>
    </row>
    <row r="46" spans="1:37">
      <c r="C46">
        <v>2010</v>
      </c>
      <c r="E46" s="49">
        <f t="shared" si="1"/>
        <v>1919.5260000000003</v>
      </c>
      <c r="F46" s="49">
        <v>30.92</v>
      </c>
      <c r="G46" s="49">
        <v>50.103999999999999</v>
      </c>
      <c r="H46" s="49">
        <v>33.524999999999999</v>
      </c>
      <c r="J46" s="49">
        <v>5.056</v>
      </c>
      <c r="K46" s="49">
        <v>75.584000000000003</v>
      </c>
      <c r="L46" s="49">
        <v>454.86500000000001</v>
      </c>
      <c r="M46" s="49">
        <v>25.265999999999998</v>
      </c>
      <c r="N46" s="49">
        <v>14.513999999999999</v>
      </c>
      <c r="O46" s="49">
        <v>59.94</v>
      </c>
      <c r="P46" s="49">
        <v>121.483</v>
      </c>
      <c r="Q46" s="49">
        <v>41.298000000000002</v>
      </c>
      <c r="R46" s="49">
        <v>115.54300000000001</v>
      </c>
      <c r="S46" s="49"/>
      <c r="T46" s="49">
        <v>22.992000000000001</v>
      </c>
      <c r="U46" s="49">
        <v>17.373000000000001</v>
      </c>
      <c r="V46" s="49"/>
      <c r="W46" s="49">
        <v>191.49</v>
      </c>
      <c r="X46" s="49">
        <v>6.3940000000000001</v>
      </c>
      <c r="Y46" s="49">
        <v>2.2530000000000001</v>
      </c>
      <c r="Z46" s="49">
        <v>3.24</v>
      </c>
      <c r="AA46" s="49">
        <v>1.8779999999999999</v>
      </c>
      <c r="AB46" s="49">
        <v>84.736000000000004</v>
      </c>
      <c r="AC46" s="49"/>
      <c r="AD46" s="49">
        <v>199.727</v>
      </c>
      <c r="AE46" s="49">
        <v>24.167000000000002</v>
      </c>
      <c r="AF46" s="49">
        <v>47.344000000000001</v>
      </c>
      <c r="AG46" s="49">
        <v>22.661000000000001</v>
      </c>
      <c r="AH46" s="49">
        <v>8.1300000000000008</v>
      </c>
      <c r="AI46" s="49">
        <v>21.699000000000002</v>
      </c>
      <c r="AJ46" s="49">
        <v>237.34399999999999</v>
      </c>
    </row>
    <row r="47" spans="1:37">
      <c r="C47">
        <v>2015</v>
      </c>
      <c r="E47" s="49">
        <f t="shared" si="1"/>
        <v>1775.3429999999998</v>
      </c>
      <c r="F47" s="49">
        <v>29.492000000000001</v>
      </c>
      <c r="G47" s="49">
        <v>44.713999999999999</v>
      </c>
      <c r="H47" s="49">
        <v>36.261000000000003</v>
      </c>
      <c r="J47" s="49">
        <v>4.3689999999999998</v>
      </c>
      <c r="K47" s="49">
        <v>66.631</v>
      </c>
      <c r="L47" s="49">
        <v>455.65899999999999</v>
      </c>
      <c r="M47" s="49">
        <v>15.795999999999999</v>
      </c>
      <c r="N47" s="49">
        <v>11.895</v>
      </c>
      <c r="O47" s="49">
        <v>49.875999999999998</v>
      </c>
      <c r="P47" s="49">
        <v>137.27000000000001</v>
      </c>
      <c r="Q47" s="49">
        <v>25.486999999999998</v>
      </c>
      <c r="R47" s="49">
        <v>99.564999999999998</v>
      </c>
      <c r="S47" s="49">
        <v>8.3859999999999992</v>
      </c>
      <c r="T47" s="49">
        <v>19.649999999999999</v>
      </c>
      <c r="U47" s="49">
        <v>16.829999999999998</v>
      </c>
      <c r="V47" s="49"/>
      <c r="W47" s="49">
        <v>156.21299999999999</v>
      </c>
      <c r="X47" s="49">
        <v>6.8449999999999998</v>
      </c>
      <c r="Y47" s="49">
        <v>1.661</v>
      </c>
      <c r="Z47" s="49">
        <v>2.3130000000000002</v>
      </c>
      <c r="AA47" s="49">
        <v>0.89</v>
      </c>
      <c r="AB47" s="49">
        <v>94.094999999999999</v>
      </c>
      <c r="AC47" s="49"/>
      <c r="AD47" s="49">
        <v>198.696</v>
      </c>
      <c r="AE47" s="49">
        <v>27.936</v>
      </c>
      <c r="AF47" s="49">
        <v>42.396000000000001</v>
      </c>
      <c r="AG47" s="49">
        <v>19.236000000000001</v>
      </c>
      <c r="AH47" s="49">
        <v>6.11</v>
      </c>
      <c r="AI47" s="49">
        <v>21.181000000000001</v>
      </c>
      <c r="AJ47" s="49">
        <v>175.89</v>
      </c>
    </row>
    <row r="48" spans="1:37">
      <c r="C48">
        <v>2016</v>
      </c>
      <c r="E48" s="49">
        <f t="shared" si="1"/>
        <v>1706.8119999999994</v>
      </c>
      <c r="F48" s="49">
        <v>28.997</v>
      </c>
      <c r="G48" s="49">
        <v>43.655999999999999</v>
      </c>
      <c r="H48" s="49">
        <v>29.271999999999998</v>
      </c>
      <c r="J48" s="49">
        <v>4.649</v>
      </c>
      <c r="K48" s="49">
        <v>67.52</v>
      </c>
      <c r="L48" s="49">
        <v>448.92599999999999</v>
      </c>
      <c r="M48" s="49">
        <v>17.219000000000001</v>
      </c>
      <c r="N48" s="49">
        <v>13.448</v>
      </c>
      <c r="O48" s="49">
        <v>46.3</v>
      </c>
      <c r="P48" s="49">
        <v>123.54900000000001</v>
      </c>
      <c r="Q48" s="49">
        <v>27.241</v>
      </c>
      <c r="R48" s="49">
        <v>96.632000000000005</v>
      </c>
      <c r="S48" s="49">
        <v>8.2349999999999994</v>
      </c>
      <c r="T48" s="49">
        <v>19.218</v>
      </c>
      <c r="U48" s="49">
        <v>17.734000000000002</v>
      </c>
      <c r="V48" s="49"/>
      <c r="W48" s="49">
        <v>154.965</v>
      </c>
      <c r="X48" s="49">
        <v>6.13</v>
      </c>
      <c r="Y48" s="49">
        <v>1.5029999999999999</v>
      </c>
      <c r="Z48" s="49">
        <v>2.1970000000000001</v>
      </c>
      <c r="AA48" s="49">
        <v>0.57999999999999996</v>
      </c>
      <c r="AB48" s="49">
        <v>93.86</v>
      </c>
      <c r="AC48" s="49"/>
      <c r="AD48" s="49">
        <v>194.98099999999999</v>
      </c>
      <c r="AE48" s="49">
        <v>25.712</v>
      </c>
      <c r="AF48" s="49">
        <v>39.777999999999999</v>
      </c>
      <c r="AG48" s="49">
        <v>19.399000000000001</v>
      </c>
      <c r="AH48" s="49">
        <v>6.4790000000000001</v>
      </c>
      <c r="AI48" s="49">
        <v>21.263999999999999</v>
      </c>
      <c r="AJ48" s="49">
        <v>147.36799999999999</v>
      </c>
    </row>
    <row r="49" spans="1:37">
      <c r="E49" s="49"/>
    </row>
    <row r="50" spans="1:37">
      <c r="E50" s="49"/>
    </row>
    <row r="51" spans="1:37" s="113" customFormat="1">
      <c r="A51" s="113" t="s">
        <v>326</v>
      </c>
      <c r="B51" s="113" t="s">
        <v>332</v>
      </c>
      <c r="C51" s="113">
        <v>2010</v>
      </c>
      <c r="E51" s="119">
        <f t="shared" ref="E51:H52" si="6">(E26-E35)</f>
        <v>-1.1085277557108384</v>
      </c>
      <c r="F51" s="119">
        <f t="shared" si="6"/>
        <v>0.3274456127644072</v>
      </c>
      <c r="G51" s="119">
        <f t="shared" si="6"/>
        <v>9.69209960730403</v>
      </c>
      <c r="H51" s="119">
        <f t="shared" si="6"/>
        <v>-2.3078015141649075</v>
      </c>
      <c r="I51" s="119"/>
      <c r="J51" s="119">
        <f t="shared" ref="J51:U51" si="7">(J26-J35)</f>
        <v>0.25904622606690531</v>
      </c>
      <c r="K51" s="119">
        <f t="shared" si="7"/>
        <v>-5.345767338385059</v>
      </c>
      <c r="L51" s="119">
        <f t="shared" si="7"/>
        <v>12.044598800963229</v>
      </c>
      <c r="M51" s="119">
        <f t="shared" si="7"/>
        <v>-0.26125689247278316</v>
      </c>
      <c r="N51" s="119">
        <f t="shared" si="7"/>
        <v>0.12026384407327084</v>
      </c>
      <c r="O51" s="119">
        <f t="shared" si="7"/>
        <v>0.52035850499899539</v>
      </c>
      <c r="P51" s="119">
        <f t="shared" si="7"/>
        <v>-14.478965739003286</v>
      </c>
      <c r="Q51" s="119">
        <f t="shared" si="7"/>
        <v>-6.5777771516856376E-2</v>
      </c>
      <c r="R51" s="119">
        <f t="shared" si="7"/>
        <v>13.791313589772557</v>
      </c>
      <c r="S51" s="119">
        <f t="shared" si="7"/>
        <v>-8.1278569506972431E-2</v>
      </c>
      <c r="T51" s="119">
        <f t="shared" si="7"/>
        <v>0.70710260812911585</v>
      </c>
      <c r="U51" s="119">
        <f t="shared" si="7"/>
        <v>2.1083332494817029</v>
      </c>
      <c r="V51" s="119"/>
      <c r="W51" s="119">
        <f t="shared" ref="W51:AB52" si="8">(W26-W35)</f>
        <v>6.0535129113480934</v>
      </c>
      <c r="X51" s="119">
        <f t="shared" si="8"/>
        <v>8.1075698110240957E-2</v>
      </c>
      <c r="Y51" s="119">
        <f t="shared" si="8"/>
        <v>-0.17668946371979821</v>
      </c>
      <c r="Z51" s="119">
        <f t="shared" si="8"/>
        <v>-0.48748104568811801</v>
      </c>
      <c r="AA51" s="119">
        <f t="shared" si="8"/>
        <v>1.5050954070386258E-2</v>
      </c>
      <c r="AB51" s="119">
        <f t="shared" si="8"/>
        <v>-1.349774283945635</v>
      </c>
      <c r="AC51" s="119"/>
      <c r="AD51" s="119">
        <f t="shared" ref="AD51:AJ52" si="9">(AD26-AD35)</f>
        <v>-10.678966781480284</v>
      </c>
      <c r="AE51" s="119">
        <f t="shared" si="9"/>
        <v>-1.4478117213682218</v>
      </c>
      <c r="AF51" s="119">
        <f t="shared" si="9"/>
        <v>-1.112411616992258</v>
      </c>
      <c r="AG51" s="119">
        <f t="shared" si="9"/>
        <v>-0.57178876345514595</v>
      </c>
      <c r="AH51" s="119">
        <f t="shared" si="9"/>
        <v>0.78971440530269277</v>
      </c>
      <c r="AI51" s="119">
        <f t="shared" si="9"/>
        <v>-2.923476603110597</v>
      </c>
      <c r="AJ51" s="119">
        <f t="shared" si="9"/>
        <v>-6.3291956632864412</v>
      </c>
    </row>
    <row r="52" spans="1:37" s="113" customFormat="1">
      <c r="C52" s="113">
        <v>2015</v>
      </c>
      <c r="E52" s="119">
        <f t="shared" si="6"/>
        <v>-82.410752239592512</v>
      </c>
      <c r="F52" s="119">
        <f t="shared" si="6"/>
        <v>0.41939475989825326</v>
      </c>
      <c r="G52" s="119">
        <f t="shared" si="6"/>
        <v>3.2301713177143228</v>
      </c>
      <c r="H52" s="119">
        <f t="shared" si="6"/>
        <v>-1.9744611449775533</v>
      </c>
      <c r="I52" s="119"/>
      <c r="J52" s="119">
        <f t="shared" ref="J52:U52" si="10">(J27-J36)</f>
        <v>-8.4609961932572642E-2</v>
      </c>
      <c r="K52" s="119">
        <f t="shared" si="10"/>
        <v>-5.4359993920657601</v>
      </c>
      <c r="L52" s="119">
        <f t="shared" si="10"/>
        <v>-3.7226739008345362</v>
      </c>
      <c r="M52" s="119">
        <f t="shared" si="10"/>
        <v>1.0289124677404615</v>
      </c>
      <c r="N52" s="119">
        <f t="shared" si="10"/>
        <v>-4.1553004833564167E-2</v>
      </c>
      <c r="O52" s="119">
        <f t="shared" si="10"/>
        <v>0.69548580102436119</v>
      </c>
      <c r="P52" s="119">
        <f t="shared" si="10"/>
        <v>-11.876275014097303</v>
      </c>
      <c r="Q52" s="119">
        <f t="shared" si="10"/>
        <v>2.7375399260087363E-2</v>
      </c>
      <c r="R52" s="119">
        <f t="shared" si="10"/>
        <v>8.3613694403517798</v>
      </c>
      <c r="S52" s="119">
        <f t="shared" si="10"/>
        <v>8.3200263064760804E-2</v>
      </c>
      <c r="T52" s="119">
        <f t="shared" si="10"/>
        <v>0.71846208098492426</v>
      </c>
      <c r="U52" s="119">
        <f t="shared" si="10"/>
        <v>1.3720960738793444</v>
      </c>
      <c r="V52" s="119"/>
      <c r="W52" s="119">
        <f t="shared" si="8"/>
        <v>-6.6306045527987862</v>
      </c>
      <c r="X52" s="119">
        <f t="shared" si="8"/>
        <v>1.5281828490006415</v>
      </c>
      <c r="Y52" s="119">
        <f t="shared" si="8"/>
        <v>-0.79821615651044553</v>
      </c>
      <c r="Z52" s="119">
        <f t="shared" si="8"/>
        <v>8.0951727879836177E-2</v>
      </c>
      <c r="AA52" s="119">
        <f t="shared" si="8"/>
        <v>-0.6299912585427665</v>
      </c>
      <c r="AB52" s="119">
        <f t="shared" si="8"/>
        <v>-4.7162584766679174</v>
      </c>
      <c r="AC52" s="119"/>
      <c r="AD52" s="119">
        <f t="shared" si="9"/>
        <v>-26.314357018941209</v>
      </c>
      <c r="AE52" s="119">
        <f t="shared" si="9"/>
        <v>-2.2641156461986185</v>
      </c>
      <c r="AF52" s="119">
        <f t="shared" si="9"/>
        <v>-4.1259837314960777</v>
      </c>
      <c r="AG52" s="119">
        <f t="shared" si="9"/>
        <v>2.5771088804004414</v>
      </c>
      <c r="AH52" s="119">
        <f t="shared" si="9"/>
        <v>0.58158370661351189</v>
      </c>
      <c r="AI52" s="119">
        <f t="shared" si="9"/>
        <v>-2.8270641724357883</v>
      </c>
      <c r="AJ52" s="119">
        <f t="shared" si="9"/>
        <v>-31.672883575072518</v>
      </c>
    </row>
    <row r="53" spans="1:37" s="113" customFormat="1">
      <c r="E53" s="49"/>
    </row>
    <row r="54" spans="1:37">
      <c r="B54" t="s">
        <v>334</v>
      </c>
      <c r="C54" s="113">
        <v>2010</v>
      </c>
      <c r="E54" s="50">
        <f t="shared" ref="E54:H55" si="11">(E26-E35)/E35</f>
        <v>-5.9686751165647636E-4</v>
      </c>
      <c r="F54" s="50">
        <f t="shared" si="11"/>
        <v>7.8475265732894529E-3</v>
      </c>
      <c r="G54" s="50">
        <f t="shared" si="11"/>
        <v>0.16387824658045042</v>
      </c>
      <c r="H54" s="50">
        <f t="shared" si="11"/>
        <v>-0.17116509065074115</v>
      </c>
      <c r="I54" s="50"/>
      <c r="J54" s="50">
        <f t="shared" ref="J54:U54" si="12">(J26-J35)/J35</f>
        <v>8.7446460314440755E-2</v>
      </c>
      <c r="K54" s="50">
        <f t="shared" si="12"/>
        <v>-0.13286513780392684</v>
      </c>
      <c r="L54" s="50">
        <f t="shared" si="12"/>
        <v>3.5584128832386035E-2</v>
      </c>
      <c r="M54" s="50">
        <f t="shared" si="12"/>
        <v>-1.1703154005168425E-2</v>
      </c>
      <c r="N54" s="50">
        <f t="shared" si="12"/>
        <v>3.9940396990670424E-2</v>
      </c>
      <c r="O54" s="50">
        <f t="shared" si="12"/>
        <v>1.5151169776739791E-2</v>
      </c>
      <c r="P54" s="50">
        <f t="shared" si="12"/>
        <v>-9.7385780944385381E-2</v>
      </c>
      <c r="Q54" s="50">
        <f t="shared" si="12"/>
        <v>-2.7748598155059702E-3</v>
      </c>
      <c r="R54" s="50">
        <f t="shared" si="12"/>
        <v>5.7555219068881378E-2</v>
      </c>
      <c r="S54" s="50">
        <f t="shared" si="12"/>
        <v>-7.3677637040853302E-3</v>
      </c>
      <c r="T54" s="50">
        <f t="shared" si="12"/>
        <v>2.6041077290558406E-2</v>
      </c>
      <c r="U54" s="50">
        <f t="shared" si="12"/>
        <v>8.9925420672809453E-2</v>
      </c>
      <c r="V54" s="50"/>
      <c r="W54" s="50">
        <f t="shared" ref="W54:AB55" si="13">(W26-W35)/W35</f>
        <v>2.8187809266750241E-2</v>
      </c>
      <c r="X54" s="50">
        <f t="shared" si="13"/>
        <v>1.3076491764915432E-2</v>
      </c>
      <c r="Y54" s="50">
        <f t="shared" si="13"/>
        <v>-2.0648799602544503E-2</v>
      </c>
      <c r="Z54" s="50">
        <f t="shared" si="13"/>
        <v>-9.2974303664182092E-2</v>
      </c>
      <c r="AA54" s="50">
        <f t="shared" si="13"/>
        <v>2.3489248678787461E-2</v>
      </c>
      <c r="AB54" s="50">
        <f t="shared" si="13"/>
        <v>-1.5262662593697459E-2</v>
      </c>
      <c r="AC54" s="50"/>
      <c r="AD54" s="50">
        <f t="shared" ref="AD54:AJ55" si="14">(AD26-AD35)/AD35</f>
        <v>-8.1223567468113531E-2</v>
      </c>
      <c r="AE54" s="50">
        <f t="shared" si="14"/>
        <v>-5.2505533658578948E-2</v>
      </c>
      <c r="AF54" s="50">
        <f t="shared" si="14"/>
        <v>-3.7226199067563671E-2</v>
      </c>
      <c r="AG54" s="50">
        <f t="shared" si="14"/>
        <v>-2.0688271454687553E-2</v>
      </c>
      <c r="AH54" s="50">
        <f t="shared" si="14"/>
        <v>9.8969937329043689E-2</v>
      </c>
      <c r="AI54" s="50">
        <f t="shared" si="14"/>
        <v>-0.1612518546632902</v>
      </c>
      <c r="AJ54" s="50">
        <f t="shared" si="14"/>
        <v>-2.4213756615500036E-2</v>
      </c>
    </row>
    <row r="55" spans="1:37">
      <c r="C55" s="113">
        <v>2015</v>
      </c>
      <c r="E55" s="50">
        <f t="shared" si="11"/>
        <v>-4.706418873566777E-2</v>
      </c>
      <c r="F55" s="50">
        <f t="shared" si="11"/>
        <v>1.0940619074518331E-2</v>
      </c>
      <c r="G55" s="50">
        <f t="shared" si="11"/>
        <v>5.73892267158648E-2</v>
      </c>
      <c r="H55" s="50">
        <f t="shared" si="11"/>
        <v>-0.14964439489623882</v>
      </c>
      <c r="I55" s="50"/>
      <c r="J55" s="50">
        <f t="shared" ref="J55:U55" si="15">(J27-J36)/J36</f>
        <v>-3.2677497350759047E-2</v>
      </c>
      <c r="K55" s="50">
        <f t="shared" si="15"/>
        <v>-0.13688420848824431</v>
      </c>
      <c r="L55" s="50">
        <f t="shared" si="15"/>
        <v>-1.1484462602515651E-2</v>
      </c>
      <c r="M55" s="50">
        <f t="shared" si="15"/>
        <v>5.3614282765685646E-2</v>
      </c>
      <c r="N55" s="50">
        <f t="shared" si="15"/>
        <v>-1.2997305670600194E-2</v>
      </c>
      <c r="O55" s="50">
        <f t="shared" si="15"/>
        <v>2.3819848112785345E-2</v>
      </c>
      <c r="P55" s="50">
        <f t="shared" si="15"/>
        <v>-9.0605746702924331E-2</v>
      </c>
      <c r="Q55" s="50">
        <f t="shared" si="15"/>
        <v>1.3520802621761142E-3</v>
      </c>
      <c r="R55" s="50">
        <f t="shared" si="15"/>
        <v>3.6842341733128885E-2</v>
      </c>
      <c r="S55" s="50">
        <f t="shared" si="15"/>
        <v>8.2382170632089181E-3</v>
      </c>
      <c r="T55" s="50">
        <f t="shared" si="15"/>
        <v>2.7502559290618959E-2</v>
      </c>
      <c r="U55" s="50">
        <f t="shared" si="15"/>
        <v>6.4927514323113722E-2</v>
      </c>
      <c r="V55" s="50"/>
      <c r="W55" s="50">
        <f t="shared" si="13"/>
        <v>-3.2551397003918126E-2</v>
      </c>
      <c r="X55" s="50">
        <f t="shared" si="13"/>
        <v>0.24986375540470745</v>
      </c>
      <c r="Y55" s="50">
        <f t="shared" si="13"/>
        <v>-9.3950616883149166E-2</v>
      </c>
      <c r="Z55" s="50">
        <f t="shared" si="13"/>
        <v>1.6777125032134868E-2</v>
      </c>
      <c r="AA55" s="50">
        <f t="shared" si="13"/>
        <v>-0.96632326800546942</v>
      </c>
      <c r="AB55" s="50">
        <f t="shared" si="13"/>
        <v>-5.5905975892560245E-2</v>
      </c>
      <c r="AC55" s="50"/>
      <c r="AD55" s="50">
        <f t="shared" si="14"/>
        <v>-0.20828964010728648</v>
      </c>
      <c r="AE55" s="50">
        <f t="shared" si="14"/>
        <v>-9.4495986021614284E-2</v>
      </c>
      <c r="AF55" s="50">
        <f t="shared" si="14"/>
        <v>-0.12770176505293582</v>
      </c>
      <c r="AG55" s="50">
        <f t="shared" si="14"/>
        <v>0.1068620300495651</v>
      </c>
      <c r="AH55" s="50">
        <f t="shared" si="14"/>
        <v>7.9857752385148251E-2</v>
      </c>
      <c r="AI55" s="50">
        <f t="shared" si="14"/>
        <v>-0.1670962081856455</v>
      </c>
      <c r="AJ55" s="50">
        <f t="shared" si="14"/>
        <v>-0.1264479339246499</v>
      </c>
    </row>
    <row r="56" spans="1:37">
      <c r="E56" s="49"/>
      <c r="AK56" s="113"/>
    </row>
    <row r="57" spans="1:37">
      <c r="B57" t="s">
        <v>333</v>
      </c>
      <c r="C57" s="113">
        <v>2010</v>
      </c>
      <c r="E57" s="119">
        <f>(E39-E46)</f>
        <v>-109.01419796896516</v>
      </c>
      <c r="F57" s="119">
        <f t="shared" ref="E57:H58" si="16">(F39-F46)</f>
        <v>5.269047140161895</v>
      </c>
      <c r="G57" s="119">
        <f t="shared" si="16"/>
        <v>-12.735474420923488</v>
      </c>
      <c r="H57" s="119">
        <f t="shared" si="16"/>
        <v>-5.1515919356879003</v>
      </c>
      <c r="I57" s="119"/>
      <c r="J57" s="119">
        <f t="shared" ref="J57:U57" si="17">(J39-J46)</f>
        <v>-0.38566756153887916</v>
      </c>
      <c r="K57" s="119">
        <f t="shared" si="17"/>
        <v>1.3414281305840916</v>
      </c>
      <c r="L57" s="119">
        <f t="shared" si="17"/>
        <v>-24.340978992743032</v>
      </c>
      <c r="M57" s="119">
        <f t="shared" si="17"/>
        <v>0.73109803029710108</v>
      </c>
      <c r="N57" s="119">
        <f t="shared" si="17"/>
        <v>-6.8037865532482984</v>
      </c>
      <c r="O57" s="119">
        <f t="shared" si="17"/>
        <v>-11.144329829755399</v>
      </c>
      <c r="P57" s="119">
        <f t="shared" si="17"/>
        <v>2.6746038382360098</v>
      </c>
      <c r="Q57" s="119">
        <f t="shared" si="17"/>
        <v>5.1790308131531901</v>
      </c>
      <c r="R57" s="119">
        <f>(R39-R46)</f>
        <v>-37.566499452940022</v>
      </c>
      <c r="S57" s="119">
        <f t="shared" si="17"/>
        <v>8.1065198943957011</v>
      </c>
      <c r="T57" s="119">
        <f t="shared" si="17"/>
        <v>-5.3510614835835995</v>
      </c>
      <c r="U57" s="119">
        <f t="shared" si="17"/>
        <v>-2.0362297178266022</v>
      </c>
      <c r="V57" s="119"/>
      <c r="W57" s="119">
        <f>(W39-W46)</f>
        <v>-24.848799333345028</v>
      </c>
      <c r="X57" s="119">
        <f t="shared" ref="W57:AB58" si="18">(X39-X46)</f>
        <v>1.4320892929128695</v>
      </c>
      <c r="Y57" s="119">
        <f t="shared" si="18"/>
        <v>-0.51199882491441007</v>
      </c>
      <c r="Z57" s="119">
        <f t="shared" si="18"/>
        <v>-0.96452858557359056</v>
      </c>
      <c r="AA57" s="119">
        <f t="shared" si="18"/>
        <v>-0.92054442349130017</v>
      </c>
      <c r="AB57" s="119">
        <f t="shared" si="18"/>
        <v>-6.5444145173810284</v>
      </c>
      <c r="AC57" s="119"/>
      <c r="AD57" s="119">
        <f t="shared" ref="AD57:AJ58" si="19">(AD39-AD46)</f>
        <v>4.0503734540399705</v>
      </c>
      <c r="AE57" s="119">
        <f t="shared" si="19"/>
        <v>0.76408735807250139</v>
      </c>
      <c r="AF57" s="119">
        <f t="shared" si="19"/>
        <v>-6.5246086616159005</v>
      </c>
      <c r="AG57" s="119">
        <f t="shared" si="19"/>
        <v>5.471564928781298</v>
      </c>
      <c r="AH57" s="119">
        <f t="shared" si="19"/>
        <v>-2.4197085217642114</v>
      </c>
      <c r="AI57" s="119">
        <f t="shared" si="19"/>
        <v>-0.31469371579099814</v>
      </c>
      <c r="AJ57" s="119">
        <f>(AJ39-AJ46)</f>
        <v>4.5308756825239982</v>
      </c>
    </row>
    <row r="58" spans="1:37">
      <c r="C58" s="113">
        <v>2015</v>
      </c>
      <c r="E58" s="119">
        <f t="shared" si="16"/>
        <v>-61.751203846982435</v>
      </c>
      <c r="F58" s="119">
        <f t="shared" si="16"/>
        <v>3.8095690560226068</v>
      </c>
      <c r="G58" s="119">
        <f t="shared" si="16"/>
        <v>-17.725417010201387</v>
      </c>
      <c r="H58" s="119">
        <f t="shared" si="16"/>
        <v>-14.627467922527405</v>
      </c>
      <c r="I58" s="119"/>
      <c r="J58" s="119">
        <f t="shared" ref="J58:U58" si="20">(J40-J47)</f>
        <v>0.57480505476832011</v>
      </c>
      <c r="K58" s="119">
        <f t="shared" si="20"/>
        <v>0.86595821534370998</v>
      </c>
      <c r="L58" s="119">
        <f t="shared" si="20"/>
        <v>-4.9675676903069643</v>
      </c>
      <c r="M58" s="119">
        <f t="shared" si="20"/>
        <v>12.562668215916904</v>
      </c>
      <c r="N58" s="119">
        <f t="shared" si="20"/>
        <v>-4.6064119918026805</v>
      </c>
      <c r="O58" s="119">
        <f t="shared" si="20"/>
        <v>-7.0059576316556047</v>
      </c>
      <c r="P58" s="119">
        <f t="shared" si="20"/>
        <v>-4.2670390255139807</v>
      </c>
      <c r="Q58" s="119">
        <f t="shared" si="20"/>
        <v>4.7112232417695026</v>
      </c>
      <c r="R58" s="119">
        <f t="shared" si="20"/>
        <v>-9.623668944440027</v>
      </c>
      <c r="S58" s="119">
        <f t="shared" si="20"/>
        <v>1.3790999420228029</v>
      </c>
      <c r="T58" s="119">
        <f t="shared" si="20"/>
        <v>-7.0640218666111956</v>
      </c>
      <c r="U58" s="119">
        <f t="shared" si="20"/>
        <v>-2.8238301458978956</v>
      </c>
      <c r="V58" s="119"/>
      <c r="W58" s="119">
        <f t="shared" si="18"/>
        <v>-18.36346709624803</v>
      </c>
      <c r="X58" s="119">
        <f t="shared" si="18"/>
        <v>-2.4724549778202398</v>
      </c>
      <c r="Y58" s="119">
        <f t="shared" si="18"/>
        <v>2.1779314220447596</v>
      </c>
      <c r="Z58" s="119">
        <f t="shared" si="18"/>
        <v>-0.47251214058314983</v>
      </c>
      <c r="AA58" s="119">
        <f t="shared" si="18"/>
        <v>0.91285283380134941</v>
      </c>
      <c r="AB58" s="119">
        <f t="shared" si="18"/>
        <v>-17.702718470616006</v>
      </c>
      <c r="AC58" s="119"/>
      <c r="AD58" s="119">
        <f t="shared" si="19"/>
        <v>-1.5256177275949767</v>
      </c>
      <c r="AE58" s="119">
        <f t="shared" si="19"/>
        <v>-1.2639585865481955</v>
      </c>
      <c r="AF58" s="119">
        <f t="shared" si="19"/>
        <v>-11.926457857609805</v>
      </c>
      <c r="AG58" s="119">
        <f t="shared" si="19"/>
        <v>7.1111369837305034</v>
      </c>
      <c r="AH58" s="119">
        <f t="shared" si="19"/>
        <v>0.33935883982579984</v>
      </c>
      <c r="AI58" s="119">
        <f t="shared" si="19"/>
        <v>-5.0679362318320997</v>
      </c>
      <c r="AJ58" s="119">
        <f t="shared" si="19"/>
        <v>35.310697665581017</v>
      </c>
    </row>
    <row r="61" spans="1:37">
      <c r="F61" s="53" t="s">
        <v>48</v>
      </c>
      <c r="G61" s="53" t="s">
        <v>46</v>
      </c>
      <c r="H61" s="53" t="s">
        <v>45</v>
      </c>
      <c r="I61" s="113"/>
      <c r="J61" s="53" t="s">
        <v>43</v>
      </c>
      <c r="K61" s="53" t="s">
        <v>42</v>
      </c>
      <c r="L61" s="53" t="s">
        <v>41</v>
      </c>
      <c r="M61" s="53" t="s">
        <v>40</v>
      </c>
      <c r="N61" s="53" t="s">
        <v>39</v>
      </c>
      <c r="O61" s="53" t="s">
        <v>38</v>
      </c>
      <c r="P61" s="53" t="s">
        <v>37</v>
      </c>
      <c r="Q61" s="53" t="s">
        <v>36</v>
      </c>
      <c r="R61" s="53" t="s">
        <v>35</v>
      </c>
      <c r="S61" s="53" t="s">
        <v>34</v>
      </c>
      <c r="T61" s="53" t="s">
        <v>33</v>
      </c>
      <c r="U61" s="53" t="s">
        <v>32</v>
      </c>
      <c r="V61" s="53" t="s">
        <v>31</v>
      </c>
      <c r="W61" s="53" t="s">
        <v>30</v>
      </c>
      <c r="X61" s="53" t="s">
        <v>28</v>
      </c>
      <c r="Y61" s="53" t="s">
        <v>27</v>
      </c>
      <c r="Z61" s="53" t="s">
        <v>26</v>
      </c>
      <c r="AA61" s="53" t="s">
        <v>23</v>
      </c>
      <c r="AB61" s="53" t="s">
        <v>22</v>
      </c>
      <c r="AC61" s="53" t="s">
        <v>21</v>
      </c>
      <c r="AD61" s="53" t="s">
        <v>20</v>
      </c>
      <c r="AE61" s="53" t="s">
        <v>19</v>
      </c>
      <c r="AF61" s="53" t="s">
        <v>18</v>
      </c>
      <c r="AG61" s="53" t="s">
        <v>16</v>
      </c>
      <c r="AH61" s="53" t="s">
        <v>15</v>
      </c>
      <c r="AI61" s="53" t="s">
        <v>14</v>
      </c>
      <c r="AJ61" s="53" t="s">
        <v>13</v>
      </c>
    </row>
  </sheetData>
  <conditionalFormatting sqref="E54:AJ5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74"/>
  <sheetViews>
    <sheetView topLeftCell="A19" workbookViewId="0">
      <selection activeCell="C58" sqref="C58"/>
    </sheetView>
  </sheetViews>
  <sheetFormatPr defaultRowHeight="15"/>
  <cols>
    <col min="2" max="2" width="39.7109375" bestFit="1" customWidth="1"/>
    <col min="3" max="3" width="10" bestFit="1" customWidth="1"/>
    <col min="4" max="10" width="9.28515625" bestFit="1" customWidth="1"/>
    <col min="11" max="11" width="10" bestFit="1" customWidth="1"/>
  </cols>
  <sheetData>
    <row r="2" spans="2:11" ht="17.25">
      <c r="B2" s="168" t="s">
        <v>179</v>
      </c>
      <c r="C2" s="168"/>
      <c r="D2" s="168"/>
      <c r="E2" s="168"/>
      <c r="F2" s="168"/>
      <c r="G2" s="55"/>
      <c r="H2" s="55"/>
      <c r="I2" s="55"/>
      <c r="J2" s="55"/>
      <c r="K2" s="56" t="s">
        <v>180</v>
      </c>
    </row>
    <row r="3" spans="2:11" ht="15.75">
      <c r="B3" s="57" t="s">
        <v>181</v>
      </c>
      <c r="C3" s="58"/>
      <c r="D3" s="58"/>
      <c r="E3" s="58"/>
      <c r="F3" s="58"/>
      <c r="G3" s="55"/>
      <c r="H3" s="55"/>
      <c r="I3" s="55"/>
      <c r="J3" s="55"/>
      <c r="K3" s="56" t="s">
        <v>182</v>
      </c>
    </row>
    <row r="4" spans="2:11">
      <c r="B4" s="55"/>
      <c r="C4" s="55"/>
      <c r="D4" s="55"/>
      <c r="E4" s="55"/>
      <c r="F4" s="55"/>
      <c r="G4" s="55"/>
      <c r="H4" s="55"/>
      <c r="I4" s="55"/>
      <c r="J4" s="55"/>
      <c r="K4" s="56" t="s">
        <v>183</v>
      </c>
    </row>
    <row r="5" spans="2:11">
      <c r="B5" s="55"/>
      <c r="C5" s="55"/>
      <c r="D5" s="55"/>
      <c r="E5" s="55"/>
      <c r="F5" s="55"/>
      <c r="G5" s="55"/>
      <c r="H5" s="55"/>
      <c r="I5" s="55"/>
      <c r="J5" s="55"/>
      <c r="K5" s="59"/>
    </row>
    <row r="6" spans="2:11" ht="48">
      <c r="B6" s="60" t="s">
        <v>184</v>
      </c>
      <c r="C6" s="61" t="s">
        <v>185</v>
      </c>
      <c r="D6" s="61" t="s">
        <v>186</v>
      </c>
      <c r="E6" s="61" t="s">
        <v>187</v>
      </c>
      <c r="F6" s="61" t="s">
        <v>188</v>
      </c>
      <c r="G6" s="61" t="s">
        <v>189</v>
      </c>
      <c r="H6" s="61" t="s">
        <v>190</v>
      </c>
      <c r="I6" s="62" t="s">
        <v>191</v>
      </c>
      <c r="J6" s="61" t="s">
        <v>192</v>
      </c>
      <c r="K6" s="61" t="s">
        <v>193</v>
      </c>
    </row>
    <row r="7" spans="2:11" ht="15.75" thickBot="1">
      <c r="B7" s="63" t="s">
        <v>194</v>
      </c>
      <c r="C7" s="169" t="s">
        <v>195</v>
      </c>
      <c r="D7" s="170"/>
      <c r="E7" s="170"/>
      <c r="F7" s="170"/>
      <c r="G7" s="170"/>
      <c r="H7" s="170"/>
      <c r="I7" s="170"/>
      <c r="J7" s="170"/>
      <c r="K7" s="171"/>
    </row>
    <row r="8" spans="2:11" ht="15.75" thickTop="1">
      <c r="B8" s="68" t="s">
        <v>196</v>
      </c>
      <c r="C8" s="69">
        <v>3954365.7929503331</v>
      </c>
      <c r="D8" s="69">
        <v>552646.9107041629</v>
      </c>
      <c r="E8" s="69">
        <v>298040.84272750048</v>
      </c>
      <c r="F8" s="69">
        <v>73273.40300044333</v>
      </c>
      <c r="G8" s="69">
        <v>7352.9506203858564</v>
      </c>
      <c r="H8" s="69">
        <v>7919.7403522239838</v>
      </c>
      <c r="I8" s="69">
        <v>952.45815916000004</v>
      </c>
      <c r="J8" s="69">
        <v>155.96544641104401</v>
      </c>
      <c r="K8" s="69">
        <v>4894708.0639606211</v>
      </c>
    </row>
    <row r="9" spans="2:11">
      <c r="B9" s="70" t="s">
        <v>197</v>
      </c>
      <c r="C9" s="69">
        <v>3968192.7644512695</v>
      </c>
      <c r="D9" s="69">
        <v>108805.23010176781</v>
      </c>
      <c r="E9" s="69">
        <v>31412.904035054875</v>
      </c>
      <c r="F9" s="71" t="s">
        <v>96</v>
      </c>
      <c r="G9" s="71" t="s">
        <v>96</v>
      </c>
      <c r="H9" s="71" t="s">
        <v>96</v>
      </c>
      <c r="I9" s="71" t="s">
        <v>96</v>
      </c>
      <c r="J9" s="71" t="s">
        <v>96</v>
      </c>
      <c r="K9" s="69">
        <v>4108410.8985880921</v>
      </c>
    </row>
    <row r="10" spans="2:11">
      <c r="B10" s="72" t="s">
        <v>198</v>
      </c>
      <c r="C10" s="69">
        <v>3940749.709297799</v>
      </c>
      <c r="D10" s="69">
        <v>23266.248951128375</v>
      </c>
      <c r="E10" s="69">
        <v>31218.60304711443</v>
      </c>
      <c r="F10" s="71" t="s">
        <v>96</v>
      </c>
      <c r="G10" s="71" t="s">
        <v>96</v>
      </c>
      <c r="H10" s="71" t="s">
        <v>96</v>
      </c>
      <c r="I10" s="71" t="s">
        <v>96</v>
      </c>
      <c r="J10" s="71" t="s">
        <v>96</v>
      </c>
      <c r="K10" s="69">
        <v>3995234.5612960421</v>
      </c>
    </row>
    <row r="11" spans="2:11">
      <c r="B11" s="73" t="s">
        <v>199</v>
      </c>
      <c r="C11" s="69">
        <v>1587397.5939665597</v>
      </c>
      <c r="D11" s="69">
        <v>2241.9560967234515</v>
      </c>
      <c r="E11" s="69">
        <v>8227.3320808003937</v>
      </c>
      <c r="F11" s="71" t="s">
        <v>96</v>
      </c>
      <c r="G11" s="71" t="s">
        <v>96</v>
      </c>
      <c r="H11" s="71" t="s">
        <v>96</v>
      </c>
      <c r="I11" s="71" t="s">
        <v>96</v>
      </c>
      <c r="J11" s="71" t="s">
        <v>96</v>
      </c>
      <c r="K11" s="69">
        <v>1597866.8821440837</v>
      </c>
    </row>
    <row r="12" spans="2:11">
      <c r="B12" s="73" t="s">
        <v>200</v>
      </c>
      <c r="C12" s="69">
        <v>627149.09997010906</v>
      </c>
      <c r="D12" s="69">
        <v>2421.5047743233727</v>
      </c>
      <c r="E12" s="69">
        <v>5507.3927310910667</v>
      </c>
      <c r="F12" s="71" t="s">
        <v>96</v>
      </c>
      <c r="G12" s="71" t="s">
        <v>96</v>
      </c>
      <c r="H12" s="71" t="s">
        <v>96</v>
      </c>
      <c r="I12" s="71" t="s">
        <v>96</v>
      </c>
      <c r="J12" s="71" t="s">
        <v>96</v>
      </c>
      <c r="K12" s="69">
        <v>635077.9974755235</v>
      </c>
    </row>
    <row r="13" spans="2:11">
      <c r="B13" s="73" t="s">
        <v>201</v>
      </c>
      <c r="C13" s="69">
        <v>958876.32714695227</v>
      </c>
      <c r="D13" s="69">
        <v>2773.5834033521351</v>
      </c>
      <c r="E13" s="69">
        <v>9047.1887964450907</v>
      </c>
      <c r="F13" s="71" t="s">
        <v>96</v>
      </c>
      <c r="G13" s="71" t="s">
        <v>96</v>
      </c>
      <c r="H13" s="71" t="s">
        <v>96</v>
      </c>
      <c r="I13" s="71" t="s">
        <v>96</v>
      </c>
      <c r="J13" s="71" t="s">
        <v>96</v>
      </c>
      <c r="K13" s="69">
        <v>970697.09934674948</v>
      </c>
    </row>
    <row r="14" spans="2:11">
      <c r="B14" s="73" t="s">
        <v>202</v>
      </c>
      <c r="C14" s="69">
        <v>756854.33041197353</v>
      </c>
      <c r="D14" s="69">
        <v>15752.411676606918</v>
      </c>
      <c r="E14" s="69">
        <v>8265.124967666974</v>
      </c>
      <c r="F14" s="71" t="s">
        <v>96</v>
      </c>
      <c r="G14" s="71" t="s">
        <v>96</v>
      </c>
      <c r="H14" s="71" t="s">
        <v>96</v>
      </c>
      <c r="I14" s="71" t="s">
        <v>96</v>
      </c>
      <c r="J14" s="71" t="s">
        <v>96</v>
      </c>
      <c r="K14" s="69">
        <v>780871.86705624743</v>
      </c>
    </row>
    <row r="15" spans="2:11">
      <c r="B15" s="73" t="s">
        <v>203</v>
      </c>
      <c r="C15" s="69">
        <v>10472.35780220444</v>
      </c>
      <c r="D15" s="69">
        <v>76.793000122498256</v>
      </c>
      <c r="E15" s="69">
        <v>171.56447111090313</v>
      </c>
      <c r="F15" s="71" t="s">
        <v>96</v>
      </c>
      <c r="G15" s="71" t="s">
        <v>96</v>
      </c>
      <c r="H15" s="71" t="s">
        <v>96</v>
      </c>
      <c r="I15" s="71" t="s">
        <v>96</v>
      </c>
      <c r="J15" s="71" t="s">
        <v>96</v>
      </c>
      <c r="K15" s="69">
        <v>10720.715273437841</v>
      </c>
    </row>
    <row r="16" spans="2:11">
      <c r="B16" s="72" t="s">
        <v>204</v>
      </c>
      <c r="C16" s="69">
        <v>27443.055153470297</v>
      </c>
      <c r="D16" s="69">
        <v>85538.981150639433</v>
      </c>
      <c r="E16" s="69">
        <v>194.30098794044662</v>
      </c>
      <c r="F16" s="71" t="s">
        <v>96</v>
      </c>
      <c r="G16" s="71" t="s">
        <v>96</v>
      </c>
      <c r="H16" s="71" t="s">
        <v>96</v>
      </c>
      <c r="I16" s="71" t="s">
        <v>96</v>
      </c>
      <c r="J16" s="71" t="s">
        <v>96</v>
      </c>
      <c r="K16" s="69">
        <v>113176.33729205017</v>
      </c>
    </row>
    <row r="17" spans="2:11">
      <c r="B17" s="73" t="s">
        <v>205</v>
      </c>
      <c r="C17" s="69">
        <v>3554.6993825319864</v>
      </c>
      <c r="D17" s="69">
        <v>41973.676575787504</v>
      </c>
      <c r="E17" s="69">
        <v>4.5699545285379999E-2</v>
      </c>
      <c r="F17" s="71" t="s">
        <v>96</v>
      </c>
      <c r="G17" s="71" t="s">
        <v>96</v>
      </c>
      <c r="H17" s="71" t="s">
        <v>96</v>
      </c>
      <c r="I17" s="71" t="s">
        <v>96</v>
      </c>
      <c r="J17" s="71" t="s">
        <v>96</v>
      </c>
      <c r="K17" s="69">
        <v>45528.421657864776</v>
      </c>
    </row>
    <row r="18" spans="2:11">
      <c r="B18" s="73" t="s">
        <v>206</v>
      </c>
      <c r="C18" s="69">
        <v>23888.355770938313</v>
      </c>
      <c r="D18" s="69">
        <v>43565.304574851922</v>
      </c>
      <c r="E18" s="69">
        <v>194.25528839516124</v>
      </c>
      <c r="F18" s="71" t="s">
        <v>96</v>
      </c>
      <c r="G18" s="71" t="s">
        <v>96</v>
      </c>
      <c r="H18" s="71" t="s">
        <v>96</v>
      </c>
      <c r="I18" s="71" t="s">
        <v>96</v>
      </c>
      <c r="J18" s="71" t="s">
        <v>96</v>
      </c>
      <c r="K18" s="69">
        <v>67647.915634185396</v>
      </c>
    </row>
    <row r="19" spans="2:11">
      <c r="B19" s="74" t="s">
        <v>207</v>
      </c>
      <c r="C19" s="69" t="s">
        <v>208</v>
      </c>
      <c r="D19" s="71" t="s">
        <v>96</v>
      </c>
      <c r="E19" s="71" t="s">
        <v>96</v>
      </c>
      <c r="F19" s="71" t="s">
        <v>96</v>
      </c>
      <c r="G19" s="71" t="s">
        <v>96</v>
      </c>
      <c r="H19" s="71" t="s">
        <v>96</v>
      </c>
      <c r="I19" s="71" t="s">
        <v>96</v>
      </c>
      <c r="J19" s="71" t="s">
        <v>96</v>
      </c>
      <c r="K19" s="69" t="s">
        <v>208</v>
      </c>
    </row>
    <row r="20" spans="2:11">
      <c r="B20" s="70" t="s">
        <v>209</v>
      </c>
      <c r="C20" s="69">
        <v>308789.1978513939</v>
      </c>
      <c r="D20" s="69">
        <v>2034.0845333279631</v>
      </c>
      <c r="E20" s="69">
        <v>59475.970598248416</v>
      </c>
      <c r="F20" s="69">
        <v>73273.40300044333</v>
      </c>
      <c r="G20" s="69">
        <v>7352.9506203858564</v>
      </c>
      <c r="H20" s="69">
        <v>7919.7403522239838</v>
      </c>
      <c r="I20" s="69">
        <v>952.45815916000004</v>
      </c>
      <c r="J20" s="69">
        <v>155.96544641104401</v>
      </c>
      <c r="K20" s="69">
        <v>459953.77056159452</v>
      </c>
    </row>
    <row r="21" spans="2:11">
      <c r="B21" s="74" t="s">
        <v>210</v>
      </c>
      <c r="C21" s="69">
        <v>144619.2328781031</v>
      </c>
      <c r="D21" s="71" t="s">
        <v>96</v>
      </c>
      <c r="E21" s="71" t="s">
        <v>96</v>
      </c>
      <c r="F21" s="71" t="s">
        <v>96</v>
      </c>
      <c r="G21" s="71" t="s">
        <v>96</v>
      </c>
      <c r="H21" s="71" t="s">
        <v>96</v>
      </c>
      <c r="I21" s="71" t="s">
        <v>96</v>
      </c>
      <c r="J21" s="71" t="s">
        <v>96</v>
      </c>
      <c r="K21" s="69">
        <v>144619.2328781031</v>
      </c>
    </row>
    <row r="22" spans="2:11">
      <c r="B22" s="74" t="s">
        <v>211</v>
      </c>
      <c r="C22" s="69">
        <v>60131.208340316232</v>
      </c>
      <c r="D22" s="69">
        <v>1672.0430555692888</v>
      </c>
      <c r="E22" s="69">
        <v>54623.696645857977</v>
      </c>
      <c r="F22" s="69">
        <v>5263.0894270289355</v>
      </c>
      <c r="G22" s="69">
        <v>2126.73498656934</v>
      </c>
      <c r="H22" s="69">
        <v>339.67440022800002</v>
      </c>
      <c r="I22" s="69">
        <v>644.76785915999994</v>
      </c>
      <c r="J22" s="69" t="s">
        <v>21</v>
      </c>
      <c r="K22" s="69">
        <v>124801.21471472977</v>
      </c>
    </row>
    <row r="23" spans="2:11">
      <c r="B23" s="74" t="s">
        <v>212</v>
      </c>
      <c r="C23" s="69">
        <v>92262.464553996033</v>
      </c>
      <c r="D23" s="69">
        <v>264.00489869763976</v>
      </c>
      <c r="E23" s="69">
        <v>33.98103440893896</v>
      </c>
      <c r="F23" s="69">
        <v>1.731158</v>
      </c>
      <c r="G23" s="69">
        <v>3018.8909881227196</v>
      </c>
      <c r="H23" s="69">
        <v>1456.2303275004481</v>
      </c>
      <c r="I23" s="69" t="s">
        <v>96</v>
      </c>
      <c r="J23" s="69" t="s">
        <v>96</v>
      </c>
      <c r="K23" s="69">
        <v>97037.302960725778</v>
      </c>
    </row>
    <row r="24" spans="2:11" ht="24">
      <c r="B24" s="75" t="s">
        <v>213</v>
      </c>
      <c r="C24" s="69">
        <v>11593.862473841331</v>
      </c>
      <c r="D24" s="69">
        <v>4.4495487036080004</v>
      </c>
      <c r="E24" s="69">
        <v>4.8873973169064602</v>
      </c>
      <c r="F24" s="71" t="s">
        <v>96</v>
      </c>
      <c r="G24" s="71" t="s">
        <v>96</v>
      </c>
      <c r="H24" s="71" t="s">
        <v>96</v>
      </c>
      <c r="I24" s="71" t="s">
        <v>96</v>
      </c>
      <c r="J24" s="71" t="s">
        <v>96</v>
      </c>
      <c r="K24" s="69">
        <v>11603.199419861845</v>
      </c>
    </row>
    <row r="25" spans="2:11">
      <c r="B25" s="75" t="s">
        <v>214</v>
      </c>
      <c r="C25" s="71" t="s">
        <v>96</v>
      </c>
      <c r="D25" s="71" t="s">
        <v>96</v>
      </c>
      <c r="E25" s="71" t="s">
        <v>96</v>
      </c>
      <c r="F25" s="69">
        <v>63.941806207733279</v>
      </c>
      <c r="G25" s="69">
        <v>1499.5980340100982</v>
      </c>
      <c r="H25" s="69">
        <v>411.30532133333327</v>
      </c>
      <c r="I25" s="69" t="s">
        <v>96</v>
      </c>
      <c r="J25" s="69">
        <v>155.96544641110609</v>
      </c>
      <c r="K25" s="69">
        <v>2130.8106079622708</v>
      </c>
    </row>
    <row r="26" spans="2:11">
      <c r="B26" s="75" t="s">
        <v>215</v>
      </c>
      <c r="C26" s="71" t="s">
        <v>96</v>
      </c>
      <c r="D26" s="71" t="s">
        <v>96</v>
      </c>
      <c r="E26" s="71" t="s">
        <v>96</v>
      </c>
      <c r="F26" s="69">
        <v>67943.965385736767</v>
      </c>
      <c r="G26" s="69">
        <v>254.85269587367449</v>
      </c>
      <c r="H26" s="69" t="s">
        <v>96</v>
      </c>
      <c r="I26" s="69" t="s">
        <v>96</v>
      </c>
      <c r="J26" s="69" t="s">
        <v>96</v>
      </c>
      <c r="K26" s="69">
        <v>68198.818081610443</v>
      </c>
    </row>
    <row r="27" spans="2:11">
      <c r="B27" s="75" t="s">
        <v>216</v>
      </c>
      <c r="C27" s="69">
        <v>117.37613412505286</v>
      </c>
      <c r="D27" s="69">
        <v>72.783819819620248</v>
      </c>
      <c r="E27" s="69">
        <v>4731.1293373586996</v>
      </c>
      <c r="F27" s="69">
        <v>4.7640000000000002E-2</v>
      </c>
      <c r="G27" s="69">
        <v>451.70714281002404</v>
      </c>
      <c r="H27" s="69">
        <v>5699.1467031622797</v>
      </c>
      <c r="I27" s="69" t="s">
        <v>96</v>
      </c>
      <c r="J27" s="69" t="s">
        <v>96</v>
      </c>
      <c r="K27" s="69">
        <v>11072.190777275677</v>
      </c>
    </row>
    <row r="28" spans="2:11">
      <c r="B28" s="74" t="s">
        <v>217</v>
      </c>
      <c r="C28" s="69">
        <v>65.053471012147497</v>
      </c>
      <c r="D28" s="69">
        <v>20.803210537806251</v>
      </c>
      <c r="E28" s="69">
        <v>82.276183305895998</v>
      </c>
      <c r="F28" s="69">
        <v>0.62758346990150005</v>
      </c>
      <c r="G28" s="69">
        <v>1.1667730000000001</v>
      </c>
      <c r="H28" s="69">
        <v>13.383599999999999</v>
      </c>
      <c r="I28" s="69">
        <v>307.69029999999998</v>
      </c>
      <c r="J28" s="69" t="s">
        <v>96</v>
      </c>
      <c r="K28" s="69">
        <v>491.00112132575123</v>
      </c>
    </row>
    <row r="29" spans="2:11">
      <c r="B29" s="76" t="s">
        <v>218</v>
      </c>
      <c r="C29" s="69">
        <v>9365.5179903324206</v>
      </c>
      <c r="D29" s="69">
        <v>246491.81195857076</v>
      </c>
      <c r="E29" s="69">
        <v>183991.36368391092</v>
      </c>
      <c r="F29" s="71" t="s">
        <v>96</v>
      </c>
      <c r="G29" s="71" t="s">
        <v>96</v>
      </c>
      <c r="H29" s="71" t="s">
        <v>96</v>
      </c>
      <c r="I29" s="71" t="s">
        <v>96</v>
      </c>
      <c r="J29" s="71" t="s">
        <v>96</v>
      </c>
      <c r="K29" s="69">
        <v>439848.6936328141</v>
      </c>
    </row>
    <row r="30" spans="2:11">
      <c r="B30" s="72" t="s">
        <v>219</v>
      </c>
      <c r="C30" s="71" t="s">
        <v>96</v>
      </c>
      <c r="D30" s="69">
        <v>194704.05974675174</v>
      </c>
      <c r="E30" s="71" t="s">
        <v>96</v>
      </c>
      <c r="F30" s="71" t="s">
        <v>96</v>
      </c>
      <c r="G30" s="71" t="s">
        <v>96</v>
      </c>
      <c r="H30" s="71" t="s">
        <v>96</v>
      </c>
      <c r="I30" s="71" t="s">
        <v>96</v>
      </c>
      <c r="J30" s="71" t="s">
        <v>96</v>
      </c>
      <c r="K30" s="69">
        <v>194704.05974675174</v>
      </c>
    </row>
    <row r="31" spans="2:11">
      <c r="B31" s="72" t="s">
        <v>220</v>
      </c>
      <c r="C31" s="71" t="s">
        <v>96</v>
      </c>
      <c r="D31" s="69">
        <v>48123.671474668365</v>
      </c>
      <c r="E31" s="69">
        <v>22537.62473305023</v>
      </c>
      <c r="F31" s="71" t="s">
        <v>96</v>
      </c>
      <c r="G31" s="71" t="s">
        <v>96</v>
      </c>
      <c r="H31" s="71" t="s">
        <v>96</v>
      </c>
      <c r="I31" s="71" t="s">
        <v>96</v>
      </c>
      <c r="J31" s="71" t="s">
        <v>96</v>
      </c>
      <c r="K31" s="69">
        <v>70661.296207718595</v>
      </c>
    </row>
    <row r="32" spans="2:11">
      <c r="B32" s="72" t="s">
        <v>221</v>
      </c>
      <c r="C32" s="71" t="s">
        <v>96</v>
      </c>
      <c r="D32" s="69">
        <v>2693.367307080608</v>
      </c>
      <c r="E32" s="71" t="s">
        <v>96</v>
      </c>
      <c r="F32" s="71" t="s">
        <v>96</v>
      </c>
      <c r="G32" s="71" t="s">
        <v>96</v>
      </c>
      <c r="H32" s="71" t="s">
        <v>96</v>
      </c>
      <c r="I32" s="71" t="s">
        <v>96</v>
      </c>
      <c r="J32" s="71" t="s">
        <v>96</v>
      </c>
      <c r="K32" s="69">
        <v>2693.367307080608</v>
      </c>
    </row>
    <row r="33" spans="2:11">
      <c r="B33" s="72" t="s">
        <v>222</v>
      </c>
      <c r="C33" s="71" t="s">
        <v>96</v>
      </c>
      <c r="D33" s="69" t="s">
        <v>223</v>
      </c>
      <c r="E33" s="69">
        <v>161093.21210613553</v>
      </c>
      <c r="F33" s="71" t="s">
        <v>96</v>
      </c>
      <c r="G33" s="71" t="s">
        <v>96</v>
      </c>
      <c r="H33" s="71" t="s">
        <v>96</v>
      </c>
      <c r="I33" s="71" t="s">
        <v>96</v>
      </c>
      <c r="J33" s="71" t="s">
        <v>96</v>
      </c>
      <c r="K33" s="69">
        <v>161093.21210613553</v>
      </c>
    </row>
    <row r="34" spans="2:11">
      <c r="B34" s="72" t="s">
        <v>224</v>
      </c>
      <c r="C34" s="71" t="s">
        <v>96</v>
      </c>
      <c r="D34" s="69" t="s">
        <v>21</v>
      </c>
      <c r="E34" s="69" t="s">
        <v>21</v>
      </c>
      <c r="F34" s="71" t="s">
        <v>96</v>
      </c>
      <c r="G34" s="71" t="s">
        <v>96</v>
      </c>
      <c r="H34" s="71" t="s">
        <v>96</v>
      </c>
      <c r="I34" s="71" t="s">
        <v>96</v>
      </c>
      <c r="J34" s="71" t="s">
        <v>96</v>
      </c>
      <c r="K34" s="69" t="s">
        <v>21</v>
      </c>
    </row>
    <row r="35" spans="2:11">
      <c r="B35" s="72" t="s">
        <v>225</v>
      </c>
      <c r="C35" s="71" t="s">
        <v>96</v>
      </c>
      <c r="D35" s="69">
        <v>726.19019082005821</v>
      </c>
      <c r="E35" s="69">
        <v>263.10010744517291</v>
      </c>
      <c r="F35" s="71" t="s">
        <v>96</v>
      </c>
      <c r="G35" s="71" t="s">
        <v>96</v>
      </c>
      <c r="H35" s="71" t="s">
        <v>96</v>
      </c>
      <c r="I35" s="71" t="s">
        <v>96</v>
      </c>
      <c r="J35" s="71" t="s">
        <v>96</v>
      </c>
      <c r="K35" s="69">
        <v>989.29029826523117</v>
      </c>
    </row>
    <row r="36" spans="2:11">
      <c r="B36" s="72" t="s">
        <v>226</v>
      </c>
      <c r="C36" s="69">
        <v>5975.4649017139254</v>
      </c>
      <c r="D36" s="71" t="s">
        <v>96</v>
      </c>
      <c r="E36" s="71" t="s">
        <v>96</v>
      </c>
      <c r="F36" s="71" t="s">
        <v>96</v>
      </c>
      <c r="G36" s="71" t="s">
        <v>96</v>
      </c>
      <c r="H36" s="71" t="s">
        <v>96</v>
      </c>
      <c r="I36" s="71" t="s">
        <v>96</v>
      </c>
      <c r="J36" s="71" t="s">
        <v>96</v>
      </c>
      <c r="K36" s="69">
        <v>5975.4649017139254</v>
      </c>
    </row>
    <row r="37" spans="2:11">
      <c r="B37" s="72" t="s">
        <v>227</v>
      </c>
      <c r="C37" s="69">
        <v>3366.7109864493586</v>
      </c>
      <c r="D37" s="71" t="s">
        <v>96</v>
      </c>
      <c r="E37" s="71" t="s">
        <v>96</v>
      </c>
      <c r="F37" s="71" t="s">
        <v>96</v>
      </c>
      <c r="G37" s="71" t="s">
        <v>96</v>
      </c>
      <c r="H37" s="71" t="s">
        <v>96</v>
      </c>
      <c r="I37" s="71" t="s">
        <v>96</v>
      </c>
      <c r="J37" s="71" t="s">
        <v>96</v>
      </c>
      <c r="K37" s="69">
        <v>3366.7109864493586</v>
      </c>
    </row>
    <row r="38" spans="2:11">
      <c r="B38" s="72" t="s">
        <v>228</v>
      </c>
      <c r="C38" s="69">
        <v>23.3421021691363</v>
      </c>
      <c r="D38" s="71" t="s">
        <v>96</v>
      </c>
      <c r="E38" s="71" t="s">
        <v>96</v>
      </c>
      <c r="F38" s="71" t="s">
        <v>96</v>
      </c>
      <c r="G38" s="71" t="s">
        <v>96</v>
      </c>
      <c r="H38" s="71" t="s">
        <v>96</v>
      </c>
      <c r="I38" s="71" t="s">
        <v>96</v>
      </c>
      <c r="J38" s="71" t="s">
        <v>96</v>
      </c>
      <c r="K38" s="69">
        <v>23.3421021691363</v>
      </c>
    </row>
    <row r="39" spans="2:11">
      <c r="B39" s="72" t="s">
        <v>229</v>
      </c>
      <c r="C39" s="69" t="s">
        <v>21</v>
      </c>
      <c r="D39" s="69">
        <v>244.52323924999999</v>
      </c>
      <c r="E39" s="69">
        <v>97.426737279999998</v>
      </c>
      <c r="F39" s="71" t="s">
        <v>96</v>
      </c>
      <c r="G39" s="71" t="s">
        <v>96</v>
      </c>
      <c r="H39" s="71" t="s">
        <v>96</v>
      </c>
      <c r="I39" s="71" t="s">
        <v>96</v>
      </c>
      <c r="J39" s="71" t="s">
        <v>96</v>
      </c>
      <c r="K39" s="69">
        <v>341.94997653000001</v>
      </c>
    </row>
    <row r="40" spans="2:11">
      <c r="B40" s="70" t="s">
        <v>230</v>
      </c>
      <c r="C40" s="69">
        <v>-335768.33309495653</v>
      </c>
      <c r="D40" s="69">
        <v>6167.2041639184235</v>
      </c>
      <c r="E40" s="69">
        <v>13129.244813565672</v>
      </c>
      <c r="F40" s="71" t="s">
        <v>96</v>
      </c>
      <c r="G40" s="71" t="s">
        <v>96</v>
      </c>
      <c r="H40" s="71" t="s">
        <v>96</v>
      </c>
      <c r="I40" s="71" t="s">
        <v>96</v>
      </c>
      <c r="J40" s="71" t="s">
        <v>96</v>
      </c>
      <c r="K40" s="69">
        <v>-316471.88411747239</v>
      </c>
    </row>
    <row r="41" spans="2:11">
      <c r="B41" s="72" t="s">
        <v>231</v>
      </c>
      <c r="C41" s="69">
        <v>-424145.29165065946</v>
      </c>
      <c r="D41" s="69">
        <v>3193.4800231603763</v>
      </c>
      <c r="E41" s="69">
        <v>4173.4895579491276</v>
      </c>
      <c r="F41" s="71" t="s">
        <v>96</v>
      </c>
      <c r="G41" s="71" t="s">
        <v>96</v>
      </c>
      <c r="H41" s="71" t="s">
        <v>96</v>
      </c>
      <c r="I41" s="71" t="s">
        <v>96</v>
      </c>
      <c r="J41" s="71" t="s">
        <v>96</v>
      </c>
      <c r="K41" s="69">
        <v>-416778.32206954993</v>
      </c>
    </row>
    <row r="42" spans="2:11">
      <c r="B42" s="72" t="s">
        <v>232</v>
      </c>
      <c r="C42" s="69">
        <v>65692.405754211184</v>
      </c>
      <c r="D42" s="69">
        <v>663.20654719511651</v>
      </c>
      <c r="E42" s="69">
        <v>3801.6457754994203</v>
      </c>
      <c r="F42" s="71" t="s">
        <v>96</v>
      </c>
      <c r="G42" s="71" t="s">
        <v>96</v>
      </c>
      <c r="H42" s="71" t="s">
        <v>96</v>
      </c>
      <c r="I42" s="71" t="s">
        <v>96</v>
      </c>
      <c r="J42" s="71" t="s">
        <v>96</v>
      </c>
      <c r="K42" s="69">
        <v>70157.258076905724</v>
      </c>
    </row>
    <row r="43" spans="2:11">
      <c r="B43" s="72" t="s">
        <v>233</v>
      </c>
      <c r="C43" s="69">
        <v>11287.842550877649</v>
      </c>
      <c r="D43" s="69">
        <v>1346.2653226696743</v>
      </c>
      <c r="E43" s="69">
        <v>677.77225977744467</v>
      </c>
      <c r="F43" s="71" t="s">
        <v>96</v>
      </c>
      <c r="G43" s="71" t="s">
        <v>96</v>
      </c>
      <c r="H43" s="71" t="s">
        <v>96</v>
      </c>
      <c r="I43" s="71" t="s">
        <v>96</v>
      </c>
      <c r="J43" s="71" t="s">
        <v>96</v>
      </c>
      <c r="K43" s="69">
        <v>13311.880133324767</v>
      </c>
    </row>
    <row r="44" spans="2:11">
      <c r="B44" s="72" t="s">
        <v>234</v>
      </c>
      <c r="C44" s="69">
        <v>19884.742068129854</v>
      </c>
      <c r="D44" s="69">
        <v>261.48279228998126</v>
      </c>
      <c r="E44" s="69">
        <v>207.81824383357571</v>
      </c>
      <c r="F44" s="71" t="s">
        <v>96</v>
      </c>
      <c r="G44" s="71" t="s">
        <v>96</v>
      </c>
      <c r="H44" s="71" t="s">
        <v>96</v>
      </c>
      <c r="I44" s="71" t="s">
        <v>96</v>
      </c>
      <c r="J44" s="71" t="s">
        <v>96</v>
      </c>
      <c r="K44" s="69">
        <v>20354.043104253411</v>
      </c>
    </row>
    <row r="45" spans="2:11">
      <c r="B45" s="72" t="s">
        <v>235</v>
      </c>
      <c r="C45" s="69">
        <v>43734.016354666557</v>
      </c>
      <c r="D45" s="69">
        <v>94.977561417634746</v>
      </c>
      <c r="E45" s="69">
        <v>2494.4951121353656</v>
      </c>
      <c r="F45" s="71" t="s">
        <v>96</v>
      </c>
      <c r="G45" s="71" t="s">
        <v>96</v>
      </c>
      <c r="H45" s="71" t="s">
        <v>96</v>
      </c>
      <c r="I45" s="71" t="s">
        <v>96</v>
      </c>
      <c r="J45" s="71" t="s">
        <v>96</v>
      </c>
      <c r="K45" s="69">
        <v>46323.489028219563</v>
      </c>
    </row>
    <row r="46" spans="2:11">
      <c r="B46" s="72" t="s">
        <v>236</v>
      </c>
      <c r="C46" s="69">
        <v>321.62845063219856</v>
      </c>
      <c r="D46" s="69">
        <v>301.45858385230753</v>
      </c>
      <c r="E46" s="69">
        <v>1155.4508617883662</v>
      </c>
      <c r="F46" s="71" t="s">
        <v>96</v>
      </c>
      <c r="G46" s="71" t="s">
        <v>96</v>
      </c>
      <c r="H46" s="71" t="s">
        <v>96</v>
      </c>
      <c r="I46" s="71" t="s">
        <v>96</v>
      </c>
      <c r="J46" s="71" t="s">
        <v>96</v>
      </c>
      <c r="K46" s="69">
        <v>1778.5378962728723</v>
      </c>
    </row>
    <row r="47" spans="2:11">
      <c r="B47" s="72" t="s">
        <v>237</v>
      </c>
      <c r="C47" s="69">
        <v>-52853.652956147846</v>
      </c>
      <c r="D47" s="71" t="s">
        <v>96</v>
      </c>
      <c r="E47" s="71" t="s">
        <v>96</v>
      </c>
      <c r="F47" s="71" t="s">
        <v>96</v>
      </c>
      <c r="G47" s="71" t="s">
        <v>96</v>
      </c>
      <c r="H47" s="71" t="s">
        <v>96</v>
      </c>
      <c r="I47" s="71" t="s">
        <v>96</v>
      </c>
      <c r="J47" s="71" t="s">
        <v>96</v>
      </c>
      <c r="K47" s="69">
        <v>-52853.652956147846</v>
      </c>
    </row>
    <row r="48" spans="2:11">
      <c r="B48" s="72" t="s">
        <v>238</v>
      </c>
      <c r="C48" s="69">
        <v>309.976333333333</v>
      </c>
      <c r="D48" s="69">
        <v>306.33333333333252</v>
      </c>
      <c r="E48" s="69">
        <v>70.893280664832673</v>
      </c>
      <c r="F48" s="71" t="s">
        <v>96</v>
      </c>
      <c r="G48" s="71" t="s">
        <v>96</v>
      </c>
      <c r="H48" s="71" t="s">
        <v>96</v>
      </c>
      <c r="I48" s="71" t="s">
        <v>96</v>
      </c>
      <c r="J48" s="71" t="s">
        <v>96</v>
      </c>
      <c r="K48" s="69">
        <v>687.20294733149819</v>
      </c>
    </row>
    <row r="49" spans="2:11">
      <c r="B49" s="70" t="s">
        <v>239</v>
      </c>
      <c r="C49" s="69">
        <v>3786.6457522938422</v>
      </c>
      <c r="D49" s="69">
        <v>189148.5799465779</v>
      </c>
      <c r="E49" s="69">
        <v>10031.359596720587</v>
      </c>
      <c r="F49" s="71" t="s">
        <v>96</v>
      </c>
      <c r="G49" s="71" t="s">
        <v>96</v>
      </c>
      <c r="H49" s="71" t="s">
        <v>96</v>
      </c>
      <c r="I49" s="71" t="s">
        <v>96</v>
      </c>
      <c r="J49" s="71" t="s">
        <v>96</v>
      </c>
      <c r="K49" s="69">
        <v>202966.58529559232</v>
      </c>
    </row>
    <row r="50" spans="2:11">
      <c r="B50" s="72" t="s">
        <v>240</v>
      </c>
      <c r="C50" s="69" t="s">
        <v>241</v>
      </c>
      <c r="D50" s="69">
        <v>162533.04439234812</v>
      </c>
      <c r="E50" s="71" t="s">
        <v>96</v>
      </c>
      <c r="F50" s="71" t="s">
        <v>96</v>
      </c>
      <c r="G50" s="71" t="s">
        <v>96</v>
      </c>
      <c r="H50" s="71" t="s">
        <v>96</v>
      </c>
      <c r="I50" s="71" t="s">
        <v>96</v>
      </c>
      <c r="J50" s="71" t="s">
        <v>96</v>
      </c>
      <c r="K50" s="69">
        <v>162533.04439234812</v>
      </c>
    </row>
    <row r="51" spans="2:11">
      <c r="B51" s="72" t="s">
        <v>242</v>
      </c>
      <c r="C51" s="71" t="s">
        <v>96</v>
      </c>
      <c r="D51" s="69">
        <v>2188.8534848140944</v>
      </c>
      <c r="E51" s="69">
        <v>1890.6460008678951</v>
      </c>
      <c r="F51" s="71" t="s">
        <v>96</v>
      </c>
      <c r="G51" s="71" t="s">
        <v>96</v>
      </c>
      <c r="H51" s="71" t="s">
        <v>96</v>
      </c>
      <c r="I51" s="71" t="s">
        <v>96</v>
      </c>
      <c r="J51" s="71" t="s">
        <v>96</v>
      </c>
      <c r="K51" s="69">
        <v>4079.4994856819894</v>
      </c>
    </row>
    <row r="52" spans="2:11">
      <c r="B52" s="77" t="s">
        <v>243</v>
      </c>
      <c r="C52" s="69">
        <v>3768.5135602322143</v>
      </c>
      <c r="D52" s="69">
        <v>418.20682095827874</v>
      </c>
      <c r="E52" s="69">
        <v>581.27028094468585</v>
      </c>
      <c r="F52" s="71" t="s">
        <v>96</v>
      </c>
      <c r="G52" s="71" t="s">
        <v>96</v>
      </c>
      <c r="H52" s="71" t="s">
        <v>96</v>
      </c>
      <c r="I52" s="71" t="s">
        <v>96</v>
      </c>
      <c r="J52" s="71" t="s">
        <v>96</v>
      </c>
      <c r="K52" s="69">
        <v>4767.9906621351793</v>
      </c>
    </row>
    <row r="53" spans="2:11">
      <c r="B53" s="72" t="s">
        <v>244</v>
      </c>
      <c r="C53" s="71" t="s">
        <v>96</v>
      </c>
      <c r="D53" s="69">
        <v>23982.68037644431</v>
      </c>
      <c r="E53" s="69">
        <v>7429.7633675838206</v>
      </c>
      <c r="F53" s="71" t="s">
        <v>96</v>
      </c>
      <c r="G53" s="71" t="s">
        <v>96</v>
      </c>
      <c r="H53" s="71" t="s">
        <v>96</v>
      </c>
      <c r="I53" s="71" t="s">
        <v>96</v>
      </c>
      <c r="J53" s="71" t="s">
        <v>96</v>
      </c>
      <c r="K53" s="69">
        <v>31412.443744028133</v>
      </c>
    </row>
    <row r="54" spans="2:11">
      <c r="B54" s="72" t="s">
        <v>245</v>
      </c>
      <c r="C54" s="69">
        <v>18.132192061627801</v>
      </c>
      <c r="D54" s="69">
        <v>25.794872013083499</v>
      </c>
      <c r="E54" s="69">
        <v>129.67994732418515</v>
      </c>
      <c r="F54" s="71" t="s">
        <v>96</v>
      </c>
      <c r="G54" s="71" t="s">
        <v>96</v>
      </c>
      <c r="H54" s="71" t="s">
        <v>96</v>
      </c>
      <c r="I54" s="71" t="s">
        <v>96</v>
      </c>
      <c r="J54" s="71" t="s">
        <v>96</v>
      </c>
      <c r="K54" s="69">
        <v>173.60701139889645</v>
      </c>
    </row>
    <row r="55" spans="2:11">
      <c r="B55" s="78" t="s">
        <v>246</v>
      </c>
      <c r="C55" s="69" t="s">
        <v>21</v>
      </c>
      <c r="D55" s="69" t="s">
        <v>21</v>
      </c>
      <c r="E55" s="69" t="s">
        <v>21</v>
      </c>
      <c r="F55" s="69" t="s">
        <v>21</v>
      </c>
      <c r="G55" s="69" t="s">
        <v>21</v>
      </c>
      <c r="H55" s="69" t="s">
        <v>21</v>
      </c>
      <c r="I55" s="69" t="s">
        <v>21</v>
      </c>
      <c r="J55" s="69" t="s">
        <v>21</v>
      </c>
      <c r="K55" s="69" t="s">
        <v>21</v>
      </c>
    </row>
    <row r="56" spans="2:11">
      <c r="B56" s="79"/>
      <c r="C56" s="80"/>
      <c r="D56" s="80"/>
      <c r="E56" s="80"/>
      <c r="F56" s="80"/>
      <c r="G56" s="80"/>
      <c r="H56" s="80"/>
      <c r="I56" s="80"/>
      <c r="J56" s="80"/>
      <c r="K56" s="80"/>
    </row>
    <row r="57" spans="2:11">
      <c r="B57" s="81" t="s">
        <v>247</v>
      </c>
      <c r="C57" s="71" t="s">
        <v>96</v>
      </c>
      <c r="D57" s="71" t="s">
        <v>96</v>
      </c>
      <c r="E57" s="71" t="s">
        <v>96</v>
      </c>
      <c r="F57" s="71" t="s">
        <v>96</v>
      </c>
      <c r="G57" s="71" t="s">
        <v>96</v>
      </c>
      <c r="H57" s="71" t="s">
        <v>96</v>
      </c>
      <c r="I57" s="71" t="s">
        <v>96</v>
      </c>
      <c r="J57" s="71" t="s">
        <v>96</v>
      </c>
      <c r="K57" s="71" t="s">
        <v>96</v>
      </c>
    </row>
    <row r="58" spans="2:11">
      <c r="B58" s="76" t="s">
        <v>248</v>
      </c>
      <c r="C58" s="69">
        <v>289909.63517241884</v>
      </c>
      <c r="D58" s="69">
        <v>283.98321936901249</v>
      </c>
      <c r="E58" s="69">
        <v>2455.9769421380402</v>
      </c>
      <c r="F58" s="71" t="s">
        <v>96</v>
      </c>
      <c r="G58" s="71" t="s">
        <v>96</v>
      </c>
      <c r="H58" s="71" t="s">
        <v>96</v>
      </c>
      <c r="I58" s="71" t="s">
        <v>96</v>
      </c>
      <c r="J58" s="71" t="s">
        <v>96</v>
      </c>
      <c r="K58" s="69">
        <v>292649.59533392591</v>
      </c>
    </row>
    <row r="59" spans="2:11">
      <c r="B59" s="82" t="s">
        <v>83</v>
      </c>
      <c r="C59" s="69">
        <v>130486.42072069859</v>
      </c>
      <c r="D59" s="69">
        <v>25.66190916430325</v>
      </c>
      <c r="E59" s="69">
        <v>1170.2918042335646</v>
      </c>
      <c r="F59" s="71" t="s">
        <v>96</v>
      </c>
      <c r="G59" s="71" t="s">
        <v>96</v>
      </c>
      <c r="H59" s="71" t="s">
        <v>96</v>
      </c>
      <c r="I59" s="71" t="s">
        <v>96</v>
      </c>
      <c r="J59" s="71" t="s">
        <v>96</v>
      </c>
      <c r="K59" s="69">
        <v>131682.37443409648</v>
      </c>
    </row>
    <row r="60" spans="2:11">
      <c r="B60" s="82" t="s">
        <v>249</v>
      </c>
      <c r="C60" s="69">
        <v>159423.21445172024</v>
      </c>
      <c r="D60" s="69">
        <v>258.32131020470928</v>
      </c>
      <c r="E60" s="69">
        <v>1285.6851379044758</v>
      </c>
      <c r="F60" s="71" t="s">
        <v>96</v>
      </c>
      <c r="G60" s="71" t="s">
        <v>96</v>
      </c>
      <c r="H60" s="71" t="s">
        <v>96</v>
      </c>
      <c r="I60" s="71" t="s">
        <v>96</v>
      </c>
      <c r="J60" s="71" t="s">
        <v>96</v>
      </c>
      <c r="K60" s="69">
        <v>160967.22089982941</v>
      </c>
    </row>
    <row r="61" spans="2:11">
      <c r="B61" s="83" t="s">
        <v>250</v>
      </c>
      <c r="C61" s="69">
        <v>15.67413142</v>
      </c>
      <c r="D61" s="69">
        <v>4.16787450925E-3</v>
      </c>
      <c r="E61" s="69">
        <v>0.20020118055771999</v>
      </c>
      <c r="F61" s="71" t="s">
        <v>96</v>
      </c>
      <c r="G61" s="71" t="s">
        <v>96</v>
      </c>
      <c r="H61" s="71" t="s">
        <v>96</v>
      </c>
      <c r="I61" s="71" t="s">
        <v>96</v>
      </c>
      <c r="J61" s="71" t="s">
        <v>96</v>
      </c>
      <c r="K61" s="69">
        <v>15.87850047506697</v>
      </c>
    </row>
    <row r="62" spans="2:11">
      <c r="B62" s="76" t="s">
        <v>251</v>
      </c>
      <c r="C62" s="69">
        <v>350981.43741375819</v>
      </c>
      <c r="D62" s="71" t="s">
        <v>96</v>
      </c>
      <c r="E62" s="71" t="s">
        <v>96</v>
      </c>
      <c r="F62" s="71" t="s">
        <v>96</v>
      </c>
      <c r="G62" s="71" t="s">
        <v>96</v>
      </c>
      <c r="H62" s="71" t="s">
        <v>96</v>
      </c>
      <c r="I62" s="71" t="s">
        <v>96</v>
      </c>
      <c r="J62" s="71" t="s">
        <v>96</v>
      </c>
      <c r="K62" s="69">
        <v>350981.43741375819</v>
      </c>
    </row>
    <row r="63" spans="2:11">
      <c r="B63" s="83" t="s">
        <v>252</v>
      </c>
      <c r="C63" s="69">
        <v>186.73164836710757</v>
      </c>
      <c r="D63" s="71" t="s">
        <v>96</v>
      </c>
      <c r="E63" s="71" t="s">
        <v>96</v>
      </c>
      <c r="F63" s="71" t="s">
        <v>96</v>
      </c>
      <c r="G63" s="71" t="s">
        <v>96</v>
      </c>
      <c r="H63" s="71" t="s">
        <v>96</v>
      </c>
      <c r="I63" s="71" t="s">
        <v>96</v>
      </c>
      <c r="J63" s="71" t="s">
        <v>96</v>
      </c>
      <c r="K63" s="69">
        <v>186.73164836710757</v>
      </c>
    </row>
    <row r="64" spans="2:11">
      <c r="B64" s="84" t="s">
        <v>253</v>
      </c>
      <c r="C64" s="69">
        <v>168156.35917830231</v>
      </c>
      <c r="D64" s="71" t="s">
        <v>96</v>
      </c>
      <c r="E64" s="71" t="s">
        <v>96</v>
      </c>
      <c r="F64" s="71" t="s">
        <v>96</v>
      </c>
      <c r="G64" s="71" t="s">
        <v>96</v>
      </c>
      <c r="H64" s="71" t="s">
        <v>96</v>
      </c>
      <c r="I64" s="71" t="s">
        <v>96</v>
      </c>
      <c r="J64" s="71" t="s">
        <v>96</v>
      </c>
      <c r="K64" s="69">
        <v>168156.35917830231</v>
      </c>
    </row>
    <row r="65" spans="2:11">
      <c r="B65" s="85" t="s">
        <v>254</v>
      </c>
      <c r="C65" s="71" t="s">
        <v>96</v>
      </c>
      <c r="D65" s="71" t="s">
        <v>96</v>
      </c>
      <c r="E65" s="69">
        <v>12926.351999116452</v>
      </c>
      <c r="F65" s="71" t="s">
        <v>96</v>
      </c>
      <c r="G65" s="71" t="s">
        <v>96</v>
      </c>
      <c r="H65" s="71" t="s">
        <v>96</v>
      </c>
      <c r="I65" s="71" t="s">
        <v>96</v>
      </c>
      <c r="J65" s="71" t="s">
        <v>96</v>
      </c>
      <c r="K65" s="71" t="s">
        <v>96</v>
      </c>
    </row>
    <row r="66" spans="2:11">
      <c r="B66" s="83" t="s">
        <v>255</v>
      </c>
      <c r="C66" s="69">
        <v>2351.848398512082</v>
      </c>
      <c r="D66" s="71" t="s">
        <v>96</v>
      </c>
      <c r="E66" s="71" t="s">
        <v>96</v>
      </c>
      <c r="F66" s="71" t="s">
        <v>96</v>
      </c>
      <c r="G66" s="71" t="s">
        <v>96</v>
      </c>
      <c r="H66" s="71" t="s">
        <v>96</v>
      </c>
      <c r="I66" s="71" t="s">
        <v>96</v>
      </c>
      <c r="J66" s="71" t="s">
        <v>96</v>
      </c>
      <c r="K66" s="71" t="s">
        <v>96</v>
      </c>
    </row>
    <row r="67" spans="2:11">
      <c r="B67" s="172" t="s">
        <v>256</v>
      </c>
      <c r="C67" s="173" t="s">
        <v>96</v>
      </c>
      <c r="D67" s="173" t="s">
        <v>96</v>
      </c>
      <c r="E67" s="173" t="s">
        <v>96</v>
      </c>
      <c r="F67" s="173" t="s">
        <v>96</v>
      </c>
      <c r="G67" s="173" t="s">
        <v>96</v>
      </c>
      <c r="H67" s="173" t="s">
        <v>96</v>
      </c>
      <c r="I67" s="173" t="s">
        <v>96</v>
      </c>
      <c r="J67" s="173" t="s">
        <v>96</v>
      </c>
      <c r="K67" s="69">
        <v>5211179.9480780931</v>
      </c>
    </row>
    <row r="68" spans="2:11">
      <c r="B68" s="172" t="s">
        <v>257</v>
      </c>
      <c r="C68" s="173" t="s">
        <v>96</v>
      </c>
      <c r="D68" s="173" t="s">
        <v>96</v>
      </c>
      <c r="E68" s="173" t="s">
        <v>96</v>
      </c>
      <c r="F68" s="173" t="s">
        <v>96</v>
      </c>
      <c r="G68" s="173" t="s">
        <v>96</v>
      </c>
      <c r="H68" s="173" t="s">
        <v>96</v>
      </c>
      <c r="I68" s="173" t="s">
        <v>96</v>
      </c>
      <c r="J68" s="173" t="s">
        <v>96</v>
      </c>
      <c r="K68" s="69">
        <v>4894708.0639606211</v>
      </c>
    </row>
    <row r="69" spans="2:11">
      <c r="B69" s="174" t="s">
        <v>258</v>
      </c>
      <c r="C69" s="173" t="s">
        <v>96</v>
      </c>
      <c r="D69" s="173" t="s">
        <v>96</v>
      </c>
      <c r="E69" s="173" t="s">
        <v>96</v>
      </c>
      <c r="F69" s="173" t="s">
        <v>96</v>
      </c>
      <c r="G69" s="173" t="s">
        <v>96</v>
      </c>
      <c r="H69" s="173" t="s">
        <v>96</v>
      </c>
      <c r="I69" s="173" t="s">
        <v>96</v>
      </c>
      <c r="J69" s="173" t="s">
        <v>96</v>
      </c>
      <c r="K69" s="69">
        <v>5213531.7964766053</v>
      </c>
    </row>
    <row r="70" spans="2:11">
      <c r="B70" s="172" t="s">
        <v>259</v>
      </c>
      <c r="C70" s="173" t="s">
        <v>96</v>
      </c>
      <c r="D70" s="173" t="s">
        <v>96</v>
      </c>
      <c r="E70" s="173" t="s">
        <v>96</v>
      </c>
      <c r="F70" s="173" t="s">
        <v>96</v>
      </c>
      <c r="G70" s="173" t="s">
        <v>96</v>
      </c>
      <c r="H70" s="173" t="s">
        <v>96</v>
      </c>
      <c r="I70" s="173" t="s">
        <v>96</v>
      </c>
      <c r="J70" s="173" t="s">
        <v>96</v>
      </c>
      <c r="K70" s="69">
        <v>4897059.9123591324</v>
      </c>
    </row>
    <row r="71" spans="2:11">
      <c r="B71" s="64"/>
      <c r="C71" s="64"/>
      <c r="D71" s="64"/>
      <c r="E71" s="64"/>
      <c r="F71" s="64"/>
      <c r="G71" s="64"/>
      <c r="H71" s="64"/>
      <c r="I71" s="64"/>
      <c r="J71" s="64"/>
      <c r="K71" s="65"/>
    </row>
    <row r="72" spans="2:11">
      <c r="B72" s="166" t="s">
        <v>260</v>
      </c>
      <c r="C72" s="166"/>
      <c r="D72" s="166"/>
      <c r="E72" s="166"/>
      <c r="F72" s="166"/>
      <c r="G72" s="166"/>
      <c r="H72" s="166"/>
      <c r="I72" s="166"/>
      <c r="J72" s="166"/>
      <c r="K72" s="166"/>
    </row>
    <row r="73" spans="2:11">
      <c r="B73" s="66" t="s">
        <v>261</v>
      </c>
      <c r="C73" s="67"/>
      <c r="D73" s="67"/>
      <c r="E73" s="67"/>
      <c r="F73" s="67"/>
      <c r="G73" s="67"/>
      <c r="H73" s="67"/>
      <c r="I73" s="67"/>
      <c r="J73" s="67"/>
      <c r="K73" s="67"/>
    </row>
    <row r="74" spans="2:11">
      <c r="B74" s="167" t="s">
        <v>262</v>
      </c>
      <c r="C74" s="167"/>
      <c r="D74" s="167"/>
      <c r="E74" s="167"/>
      <c r="F74" s="167"/>
      <c r="G74" s="167"/>
      <c r="H74" s="167"/>
      <c r="I74" s="167"/>
      <c r="J74" s="167"/>
      <c r="K74" s="167"/>
    </row>
  </sheetData>
  <mergeCells count="8">
    <mergeCell ref="B72:K72"/>
    <mergeCell ref="B74:K74"/>
    <mergeCell ref="B2:F2"/>
    <mergeCell ref="C7:K7"/>
    <mergeCell ref="B67:J67"/>
    <mergeCell ref="B68:J68"/>
    <mergeCell ref="B69:J69"/>
    <mergeCell ref="B70:J70"/>
  </mergeCells>
  <conditionalFormatting sqref="D11:J54">
    <cfRule type="colorScale" priority="1">
      <colorScale>
        <cfvo type="min"/>
        <cfvo type="max"/>
        <color rgb="FFFCFCFF"/>
        <color rgb="FFF8696B"/>
      </colorScale>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U24" sqref="U24"/>
    </sheetView>
  </sheetViews>
  <sheetFormatPr defaultRowHeight="15"/>
  <cols>
    <col min="1" max="1" width="13.42578125" customWidth="1"/>
    <col min="2" max="2" width="7.140625" customWidth="1"/>
    <col min="3" max="4" width="17.5703125" customWidth="1"/>
    <col min="5" max="5" width="12" bestFit="1" customWidth="1"/>
  </cols>
  <sheetData>
    <row r="2" spans="1:5">
      <c r="A2" s="108" t="s">
        <v>288</v>
      </c>
      <c r="B2" s="110" t="s">
        <v>308</v>
      </c>
    </row>
    <row r="4" spans="1:5">
      <c r="A4" s="90" t="s">
        <v>317</v>
      </c>
      <c r="B4" s="98"/>
      <c r="C4" s="90" t="s">
        <v>290</v>
      </c>
      <c r="D4" s="98"/>
      <c r="E4" s="86"/>
    </row>
    <row r="5" spans="1:5">
      <c r="A5" s="90" t="s">
        <v>291</v>
      </c>
      <c r="B5" s="90" t="s">
        <v>3</v>
      </c>
      <c r="C5" s="96" t="s">
        <v>300</v>
      </c>
      <c r="D5" s="94" t="s">
        <v>305</v>
      </c>
      <c r="E5" s="89" t="s">
        <v>266</v>
      </c>
    </row>
    <row r="6" spans="1:5">
      <c r="A6" s="96" t="s">
        <v>301</v>
      </c>
      <c r="B6" s="96" t="s">
        <v>95</v>
      </c>
      <c r="C6" s="92">
        <v>246.49181199999998</v>
      </c>
      <c r="D6" s="106">
        <v>183.99136263999998</v>
      </c>
      <c r="E6" s="91">
        <v>430.48317463999996</v>
      </c>
    </row>
    <row r="7" spans="1:5">
      <c r="A7" s="93"/>
      <c r="B7" s="97" t="s">
        <v>101</v>
      </c>
      <c r="C7" s="104">
        <v>238.57143925</v>
      </c>
      <c r="D7" s="102">
        <v>177.92559051999999</v>
      </c>
      <c r="E7" s="95">
        <v>416.49702976999998</v>
      </c>
    </row>
    <row r="8" spans="1:5">
      <c r="A8" s="93"/>
      <c r="B8" s="97" t="s">
        <v>106</v>
      </c>
      <c r="C8" s="104">
        <v>241.68252699999996</v>
      </c>
      <c r="D8" s="102">
        <v>184.79041984</v>
      </c>
      <c r="E8" s="95">
        <v>426.47294683999996</v>
      </c>
    </row>
    <row r="9" spans="1:5">
      <c r="A9" s="96" t="s">
        <v>318</v>
      </c>
      <c r="B9" s="98"/>
      <c r="C9" s="92">
        <v>726.74577824999994</v>
      </c>
      <c r="D9" s="106">
        <v>546.70737299999996</v>
      </c>
      <c r="E9" s="91">
        <v>1273.4531512499998</v>
      </c>
    </row>
    <row r="10" spans="1:5">
      <c r="A10" s="96" t="s">
        <v>306</v>
      </c>
      <c r="B10" s="96" t="s">
        <v>95</v>
      </c>
      <c r="C10" s="92">
        <v>189.14857999999998</v>
      </c>
      <c r="D10" s="106">
        <v>10.031359440000001</v>
      </c>
      <c r="E10" s="91">
        <v>199.17993943999997</v>
      </c>
    </row>
    <row r="11" spans="1:5">
      <c r="A11" s="93"/>
      <c r="B11" s="97" t="s">
        <v>101</v>
      </c>
      <c r="C11" s="104">
        <v>155.38360274999999</v>
      </c>
      <c r="D11" s="102">
        <v>10.59901964</v>
      </c>
      <c r="E11" s="95">
        <v>165.98262238999999</v>
      </c>
    </row>
    <row r="12" spans="1:5">
      <c r="A12" s="93"/>
      <c r="B12" s="97" t="s">
        <v>106</v>
      </c>
      <c r="C12" s="104">
        <v>125.293531</v>
      </c>
      <c r="D12" s="102">
        <v>10.79829224</v>
      </c>
      <c r="E12" s="95">
        <v>136.09182324</v>
      </c>
    </row>
    <row r="13" spans="1:5">
      <c r="A13" s="96" t="s">
        <v>319</v>
      </c>
      <c r="B13" s="98"/>
      <c r="C13" s="92">
        <v>469.82571374999998</v>
      </c>
      <c r="D13" s="106">
        <v>31.428671319999999</v>
      </c>
      <c r="E13" s="91">
        <v>501.25438506999996</v>
      </c>
    </row>
    <row r="14" spans="1:5">
      <c r="A14" s="88" t="s">
        <v>266</v>
      </c>
      <c r="B14" s="116"/>
      <c r="C14" s="101">
        <v>1196.5714919999998</v>
      </c>
      <c r="D14" s="99">
        <v>578.13604432</v>
      </c>
      <c r="E14" s="87">
        <v>1774.7075363199997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5"/>
  <sheetViews>
    <sheetView workbookViewId="0">
      <selection activeCell="AM6" sqref="AM6"/>
    </sheetView>
  </sheetViews>
  <sheetFormatPr defaultRowHeight="15"/>
  <cols>
    <col min="1" max="1" width="13.42578125" style="113" customWidth="1"/>
    <col min="2" max="5" width="15.7109375" style="113" customWidth="1"/>
    <col min="6" max="34" width="15.7109375" style="113" bestFit="1" customWidth="1"/>
    <col min="35" max="35" width="12" style="113" bestFit="1" customWidth="1"/>
    <col min="36" max="16384" width="9.140625" style="113"/>
  </cols>
  <sheetData>
    <row r="1" spans="1:35">
      <c r="A1"/>
      <c r="B1"/>
    </row>
    <row r="2" spans="1:35">
      <c r="A2"/>
      <c r="B2"/>
    </row>
    <row r="4" spans="1:35">
      <c r="A4" s="90" t="s">
        <v>317</v>
      </c>
      <c r="B4" s="90" t="s">
        <v>288</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86"/>
    </row>
    <row r="5" spans="1:35">
      <c r="A5" s="90" t="s">
        <v>3</v>
      </c>
      <c r="B5" s="96" t="s">
        <v>48</v>
      </c>
      <c r="C5" s="94" t="s">
        <v>46</v>
      </c>
      <c r="D5" s="94" t="s">
        <v>45</v>
      </c>
      <c r="E5" s="94" t="s">
        <v>44</v>
      </c>
      <c r="F5" s="94" t="s">
        <v>43</v>
      </c>
      <c r="G5" s="94" t="s">
        <v>42</v>
      </c>
      <c r="H5" s="94" t="s">
        <v>41</v>
      </c>
      <c r="I5" s="94" t="s">
        <v>40</v>
      </c>
      <c r="J5" s="94" t="s">
        <v>39</v>
      </c>
      <c r="K5" s="94" t="s">
        <v>37</v>
      </c>
      <c r="L5" s="94" t="s">
        <v>36</v>
      </c>
      <c r="M5" s="94" t="s">
        <v>35</v>
      </c>
      <c r="N5" s="94" t="s">
        <v>312</v>
      </c>
      <c r="O5" s="94" t="s">
        <v>34</v>
      </c>
      <c r="P5" s="94" t="s">
        <v>33</v>
      </c>
      <c r="Q5" s="94" t="s">
        <v>32</v>
      </c>
      <c r="R5" s="94" t="s">
        <v>31</v>
      </c>
      <c r="S5" s="94" t="s">
        <v>30</v>
      </c>
      <c r="T5" s="94" t="s">
        <v>313</v>
      </c>
      <c r="U5" s="94" t="s">
        <v>28</v>
      </c>
      <c r="V5" s="94" t="s">
        <v>27</v>
      </c>
      <c r="W5" s="94" t="s">
        <v>26</v>
      </c>
      <c r="X5" s="94" t="s">
        <v>23</v>
      </c>
      <c r="Y5" s="94" t="s">
        <v>22</v>
      </c>
      <c r="Z5" s="94" t="s">
        <v>21</v>
      </c>
      <c r="AA5" s="94" t="s">
        <v>20</v>
      </c>
      <c r="AB5" s="94" t="s">
        <v>19</v>
      </c>
      <c r="AC5" s="94" t="s">
        <v>18</v>
      </c>
      <c r="AD5" s="94" t="s">
        <v>16</v>
      </c>
      <c r="AE5" s="94" t="s">
        <v>15</v>
      </c>
      <c r="AF5" s="94" t="s">
        <v>14</v>
      </c>
      <c r="AG5" s="94" t="s">
        <v>314</v>
      </c>
      <c r="AH5" s="94" t="s">
        <v>13</v>
      </c>
      <c r="AI5" s="89" t="s">
        <v>266</v>
      </c>
    </row>
    <row r="6" spans="1:35">
      <c r="A6" s="96" t="s">
        <v>95</v>
      </c>
      <c r="B6" s="92">
        <v>9.7794888100000001</v>
      </c>
      <c r="C6" s="106">
        <v>12.669193529999999</v>
      </c>
      <c r="D6" s="106">
        <v>10.271252130000001</v>
      </c>
      <c r="E6" s="106">
        <v>6.9873214299999997</v>
      </c>
      <c r="F6" s="106">
        <v>1.10897906</v>
      </c>
      <c r="G6" s="106">
        <v>12.101313010000002</v>
      </c>
      <c r="H6" s="106">
        <v>82.371791939999994</v>
      </c>
      <c r="I6" s="106">
        <v>11.823563500000001</v>
      </c>
      <c r="J6" s="106">
        <v>1.6266781199999996</v>
      </c>
      <c r="K6" s="106">
        <v>50.496830350000003</v>
      </c>
      <c r="L6" s="106">
        <v>8.9897655600000004</v>
      </c>
      <c r="M6" s="106">
        <v>96.872916620000012</v>
      </c>
      <c r="N6" s="106">
        <v>13.663373310000001</v>
      </c>
      <c r="O6" s="106">
        <v>3.9890939899999998</v>
      </c>
      <c r="P6" s="106">
        <v>10.243829460000001</v>
      </c>
      <c r="Q6" s="106">
        <v>20.141910190000001</v>
      </c>
      <c r="R6" s="106">
        <v>0.80173868000000004</v>
      </c>
      <c r="S6" s="106">
        <v>56.534940359999993</v>
      </c>
      <c r="T6" s="106">
        <v>2.6044569999999996E-2</v>
      </c>
      <c r="U6" s="106">
        <v>5.8751291500000002</v>
      </c>
      <c r="V6" s="106">
        <v>0.74436106999999996</v>
      </c>
      <c r="W6" s="106">
        <v>2.9511814899999997</v>
      </c>
      <c r="X6" s="106">
        <v>0.25341174999999999</v>
      </c>
      <c r="Y6" s="106">
        <v>25.025484949999999</v>
      </c>
      <c r="Z6" s="106">
        <v>6.05231444</v>
      </c>
      <c r="AA6" s="106">
        <v>41.610883459999997</v>
      </c>
      <c r="AB6" s="106">
        <v>14.24768542</v>
      </c>
      <c r="AC6" s="106">
        <v>25.965589659999999</v>
      </c>
      <c r="AD6" s="106">
        <v>9.5987769499999995</v>
      </c>
      <c r="AE6" s="106">
        <v>2.5337286900000002</v>
      </c>
      <c r="AF6" s="106">
        <v>4.3255146199999999</v>
      </c>
      <c r="AG6" s="106">
        <v>59.633567740000004</v>
      </c>
      <c r="AH6" s="106">
        <v>93.846446430000015</v>
      </c>
      <c r="AI6" s="91">
        <v>703.16410044000008</v>
      </c>
    </row>
    <row r="7" spans="1:35">
      <c r="A7" s="97" t="s">
        <v>101</v>
      </c>
      <c r="B7" s="104">
        <v>9.1430816699999991</v>
      </c>
      <c r="C7" s="102">
        <v>11.90882654</v>
      </c>
      <c r="D7" s="102">
        <v>9.8217187800000012</v>
      </c>
      <c r="E7" s="102">
        <v>7.0618146900000003</v>
      </c>
      <c r="F7" s="102">
        <v>1.1367307600000001</v>
      </c>
      <c r="G7" s="102">
        <v>12.087622659999999</v>
      </c>
      <c r="H7" s="102">
        <v>75.238271400000002</v>
      </c>
      <c r="I7" s="102">
        <v>11.341603619999997</v>
      </c>
      <c r="J7" s="102">
        <v>1.6563575099999999</v>
      </c>
      <c r="K7" s="102">
        <v>48.653446870000003</v>
      </c>
      <c r="L7" s="102">
        <v>8.8804841799999998</v>
      </c>
      <c r="M7" s="102">
        <v>94.750499090000005</v>
      </c>
      <c r="N7" s="102">
        <v>13.529674289999999</v>
      </c>
      <c r="O7" s="102">
        <v>4.0217988</v>
      </c>
      <c r="P7" s="102">
        <v>9.6453602099999998</v>
      </c>
      <c r="Q7" s="102">
        <v>18.34655038</v>
      </c>
      <c r="R7" s="102">
        <v>0.83496696000000004</v>
      </c>
      <c r="S7" s="102">
        <v>52.377082819999998</v>
      </c>
      <c r="T7" s="102">
        <v>2.6527040000000002E-2</v>
      </c>
      <c r="U7" s="102">
        <v>5.6450904900000003</v>
      </c>
      <c r="V7" s="102">
        <v>0.76667198999999997</v>
      </c>
      <c r="W7" s="102">
        <v>3.1111701399999996</v>
      </c>
      <c r="X7" s="102">
        <v>0.21791979</v>
      </c>
      <c r="Y7" s="102">
        <v>22.943792879999997</v>
      </c>
      <c r="Z7" s="102">
        <v>5.8249423899999995</v>
      </c>
      <c r="AA7" s="102">
        <v>41.698215740000009</v>
      </c>
      <c r="AB7" s="102">
        <v>13.34283063</v>
      </c>
      <c r="AC7" s="102">
        <v>22.979380419999998</v>
      </c>
      <c r="AD7" s="102">
        <v>8.5578447799999999</v>
      </c>
      <c r="AE7" s="102">
        <v>2.2379244200000001</v>
      </c>
      <c r="AF7" s="102">
        <v>4.1541946300000001</v>
      </c>
      <c r="AG7" s="102">
        <v>63.323097539999999</v>
      </c>
      <c r="AH7" s="102">
        <v>74.285497480000004</v>
      </c>
      <c r="AI7" s="95">
        <v>659.55099158999997</v>
      </c>
    </row>
    <row r="8" spans="1:35">
      <c r="A8" s="97" t="s">
        <v>106</v>
      </c>
      <c r="B8" s="104">
        <v>8.7122533000000004</v>
      </c>
      <c r="C8" s="102">
        <v>11.14963805</v>
      </c>
      <c r="D8" s="102">
        <v>10.059831529999999</v>
      </c>
      <c r="E8" s="102">
        <v>6.8667088699999992</v>
      </c>
      <c r="F8" s="102">
        <v>1.0738378</v>
      </c>
      <c r="G8" s="102">
        <v>13.256976620000001</v>
      </c>
      <c r="H8" s="102">
        <v>75.094671940000012</v>
      </c>
      <c r="I8" s="102">
        <v>11.252431899999999</v>
      </c>
      <c r="J8" s="102">
        <v>1.65146449</v>
      </c>
      <c r="K8" s="102">
        <v>48.937768300000002</v>
      </c>
      <c r="L8" s="102">
        <v>8.4328448499999986</v>
      </c>
      <c r="M8" s="102">
        <v>92.217217090000005</v>
      </c>
      <c r="N8" s="102">
        <v>12.761062259999999</v>
      </c>
      <c r="O8" s="102">
        <v>4.0392201800000009</v>
      </c>
      <c r="P8" s="102">
        <v>10.135841039999999</v>
      </c>
      <c r="Q8" s="102">
        <v>19.7407909</v>
      </c>
      <c r="R8" s="102">
        <v>0.80996504999999996</v>
      </c>
      <c r="S8" s="102">
        <v>48.190417319999995</v>
      </c>
      <c r="T8" s="102">
        <v>2.6301379999999999E-2</v>
      </c>
      <c r="U8" s="102">
        <v>5.5733681300000004</v>
      </c>
      <c r="V8" s="102">
        <v>0.76799157000000007</v>
      </c>
      <c r="W8" s="102">
        <v>3.4007495800000003</v>
      </c>
      <c r="X8" s="102">
        <v>0.21135337999999998</v>
      </c>
      <c r="Y8" s="102">
        <v>22.519593130000001</v>
      </c>
      <c r="Z8" s="102">
        <v>5.7528948799999995</v>
      </c>
      <c r="AA8" s="102">
        <v>39.949729480000002</v>
      </c>
      <c r="AB8" s="102">
        <v>12.9233812</v>
      </c>
      <c r="AC8" s="102">
        <v>24.356093139999999</v>
      </c>
      <c r="AD8" s="102">
        <v>8.1167297699999992</v>
      </c>
      <c r="AE8" s="102">
        <v>2.2175337499999999</v>
      </c>
      <c r="AF8" s="102">
        <v>4.45624514</v>
      </c>
      <c r="AG8" s="102">
        <v>73.48742086</v>
      </c>
      <c r="AH8" s="102">
        <v>61.365743679999994</v>
      </c>
      <c r="AI8" s="95">
        <v>649.50807056000008</v>
      </c>
    </row>
    <row r="9" spans="1:35">
      <c r="A9" s="88" t="s">
        <v>266</v>
      </c>
      <c r="B9" s="101">
        <v>27.634823779999998</v>
      </c>
      <c r="C9" s="99">
        <v>35.727658120000001</v>
      </c>
      <c r="D9" s="99">
        <v>30.152802440000002</v>
      </c>
      <c r="E9" s="99">
        <v>20.91584499</v>
      </c>
      <c r="F9" s="99">
        <v>3.3195476199999998</v>
      </c>
      <c r="G9" s="99">
        <v>37.445912290000003</v>
      </c>
      <c r="H9" s="99">
        <v>232.70473528000002</v>
      </c>
      <c r="I9" s="99">
        <v>34.417599019999997</v>
      </c>
      <c r="J9" s="99">
        <v>4.9345001199999992</v>
      </c>
      <c r="K9" s="99">
        <v>148.08804552000001</v>
      </c>
      <c r="L9" s="99">
        <v>26.303094589999997</v>
      </c>
      <c r="M9" s="99">
        <v>283.84063280000004</v>
      </c>
      <c r="N9" s="99">
        <v>39.954109860000003</v>
      </c>
      <c r="O9" s="99">
        <v>12.050112970000001</v>
      </c>
      <c r="P9" s="99">
        <v>30.025030709999999</v>
      </c>
      <c r="Q9" s="99">
        <v>58.229251470000001</v>
      </c>
      <c r="R9" s="99">
        <v>2.4466706900000004</v>
      </c>
      <c r="S9" s="99">
        <v>157.1024405</v>
      </c>
      <c r="T9" s="99">
        <v>7.8872990000000004E-2</v>
      </c>
      <c r="U9" s="99">
        <v>17.093587769999999</v>
      </c>
      <c r="V9" s="99">
        <v>2.2790246299999999</v>
      </c>
      <c r="W9" s="99">
        <v>9.4631012099999996</v>
      </c>
      <c r="X9" s="99">
        <v>0.68268492000000003</v>
      </c>
      <c r="Y9" s="99">
        <v>70.48887096</v>
      </c>
      <c r="Z9" s="99">
        <v>17.63015171</v>
      </c>
      <c r="AA9" s="99">
        <v>123.25882868000001</v>
      </c>
      <c r="AB9" s="99">
        <v>40.513897249999999</v>
      </c>
      <c r="AC9" s="99">
        <v>73.301063220000003</v>
      </c>
      <c r="AD9" s="99">
        <v>26.273351499999997</v>
      </c>
      <c r="AE9" s="99">
        <v>6.9891868600000002</v>
      </c>
      <c r="AF9" s="99">
        <v>12.935954389999999</v>
      </c>
      <c r="AG9" s="99">
        <v>196.44408614000002</v>
      </c>
      <c r="AH9" s="99">
        <v>229.49768759</v>
      </c>
      <c r="AI9" s="87">
        <v>2012.2231625900001</v>
      </c>
    </row>
    <row r="10" spans="1:35">
      <c r="A10"/>
      <c r="B10"/>
      <c r="C10"/>
      <c r="D10"/>
      <c r="E10"/>
      <c r="F10"/>
    </row>
    <row r="11" spans="1:35">
      <c r="A11"/>
      <c r="B11"/>
      <c r="C11"/>
      <c r="D11"/>
      <c r="E11"/>
      <c r="F11"/>
    </row>
    <row r="12" spans="1:35">
      <c r="A12"/>
      <c r="B12"/>
      <c r="C12"/>
      <c r="D12"/>
      <c r="E12"/>
      <c r="F12"/>
    </row>
    <row r="13" spans="1:35">
      <c r="A13"/>
      <c r="B13"/>
      <c r="C13"/>
      <c r="D13"/>
      <c r="E13"/>
      <c r="F13"/>
    </row>
    <row r="14" spans="1:35">
      <c r="A14"/>
      <c r="B14"/>
      <c r="C14"/>
      <c r="D14"/>
      <c r="E14"/>
      <c r="F14"/>
    </row>
    <row r="15" spans="1:35">
      <c r="A15"/>
      <c r="B15"/>
      <c r="C15"/>
      <c r="D15"/>
      <c r="E15"/>
      <c r="F15"/>
    </row>
    <row r="16" spans="1:35">
      <c r="A16"/>
      <c r="B16"/>
      <c r="C16"/>
      <c r="D16"/>
      <c r="E16"/>
      <c r="F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8" spans="1:3">
      <c r="A98"/>
      <c r="B98"/>
      <c r="C98"/>
    </row>
    <row r="99" spans="1:3">
      <c r="A99"/>
      <c r="B99"/>
      <c r="C99"/>
    </row>
    <row r="100" spans="1:3">
      <c r="A100"/>
      <c r="B100"/>
      <c r="C100"/>
    </row>
    <row r="101" spans="1:3">
      <c r="A101"/>
      <c r="B101"/>
      <c r="C101"/>
    </row>
    <row r="102" spans="1:3">
      <c r="A102"/>
      <c r="B102"/>
      <c r="C102"/>
    </row>
    <row r="103" spans="1:3">
      <c r="A103"/>
      <c r="B103"/>
      <c r="C103"/>
    </row>
    <row r="104" spans="1:3">
      <c r="A104"/>
      <c r="B104"/>
      <c r="C104"/>
    </row>
    <row r="105" spans="1:3">
      <c r="A105"/>
      <c r="B105"/>
      <c r="C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23"/>
  <sheetViews>
    <sheetView workbookViewId="0">
      <selection activeCell="O9" sqref="O9"/>
    </sheetView>
  </sheetViews>
  <sheetFormatPr defaultRowHeight="15"/>
  <cols>
    <col min="5" max="5" width="19.140625" customWidth="1"/>
    <col min="9" max="9" width="21.7109375" bestFit="1" customWidth="1"/>
    <col min="10" max="10" width="22.28515625" bestFit="1" customWidth="1"/>
    <col min="11" max="11" width="7.140625" customWidth="1"/>
    <col min="14" max="14" width="10.5703125" bestFit="1" customWidth="1"/>
    <col min="15" max="15" width="9.140625" style="113"/>
  </cols>
  <sheetData>
    <row r="1" spans="2:15">
      <c r="B1" s="114" t="s">
        <v>349</v>
      </c>
    </row>
    <row r="2" spans="2:15" s="113" customFormat="1"/>
    <row r="3" spans="2:15">
      <c r="B3" s="103" t="s">
        <v>286</v>
      </c>
      <c r="C3" s="103" t="s">
        <v>287</v>
      </c>
      <c r="D3" s="103" t="s">
        <v>288</v>
      </c>
      <c r="E3" s="103" t="s">
        <v>56</v>
      </c>
      <c r="F3" s="103" t="s">
        <v>289</v>
      </c>
      <c r="G3" s="103" t="s">
        <v>290</v>
      </c>
      <c r="H3" s="103" t="s">
        <v>3</v>
      </c>
      <c r="I3" s="103" t="s">
        <v>291</v>
      </c>
      <c r="J3" s="103" t="s">
        <v>292</v>
      </c>
      <c r="K3" s="103" t="s">
        <v>293</v>
      </c>
      <c r="L3" s="103" t="s">
        <v>294</v>
      </c>
      <c r="M3" s="103" t="s">
        <v>295</v>
      </c>
      <c r="N3" s="103" t="s">
        <v>296</v>
      </c>
      <c r="O3" s="103" t="s">
        <v>316</v>
      </c>
    </row>
    <row r="4" spans="2:15">
      <c r="B4" s="117" t="s">
        <v>297</v>
      </c>
      <c r="C4" s="117" t="s">
        <v>298</v>
      </c>
      <c r="D4" s="117" t="s">
        <v>48</v>
      </c>
      <c r="E4" s="117" t="s">
        <v>120</v>
      </c>
      <c r="F4" s="117" t="s">
        <v>299</v>
      </c>
      <c r="G4" s="117" t="s">
        <v>300</v>
      </c>
      <c r="H4" s="117" t="s">
        <v>106</v>
      </c>
      <c r="I4" s="117" t="s">
        <v>301</v>
      </c>
      <c r="J4" s="117" t="s">
        <v>302</v>
      </c>
      <c r="K4" s="117" t="s">
        <v>303</v>
      </c>
      <c r="L4" s="117" t="s">
        <v>96</v>
      </c>
      <c r="M4" s="117" t="s">
        <v>304</v>
      </c>
      <c r="N4" s="118">
        <v>182.77974</v>
      </c>
      <c r="O4" s="111">
        <f t="shared" ref="O4:O31" si="0">IF(G4="CH4",N4*25,N4*298)/1000</f>
        <v>4.5694935000000001</v>
      </c>
    </row>
    <row r="5" spans="2:15">
      <c r="B5" s="117" t="s">
        <v>297</v>
      </c>
      <c r="C5" s="117" t="s">
        <v>298</v>
      </c>
      <c r="D5" s="117" t="s">
        <v>48</v>
      </c>
      <c r="E5" s="117" t="s">
        <v>120</v>
      </c>
      <c r="F5" s="117" t="s">
        <v>299</v>
      </c>
      <c r="G5" s="117" t="s">
        <v>300</v>
      </c>
      <c r="H5" s="117" t="s">
        <v>95</v>
      </c>
      <c r="I5" s="117" t="s">
        <v>301</v>
      </c>
      <c r="J5" s="117" t="s">
        <v>302</v>
      </c>
      <c r="K5" s="117" t="s">
        <v>303</v>
      </c>
      <c r="L5" s="117" t="s">
        <v>96</v>
      </c>
      <c r="M5" s="117" t="s">
        <v>304</v>
      </c>
      <c r="N5" s="118">
        <v>184.36328</v>
      </c>
      <c r="O5" s="111">
        <f t="shared" si="0"/>
        <v>4.6090819999999999</v>
      </c>
    </row>
    <row r="6" spans="2:15">
      <c r="B6" s="117" t="s">
        <v>297</v>
      </c>
      <c r="C6" s="117" t="s">
        <v>298</v>
      </c>
      <c r="D6" s="117" t="s">
        <v>48</v>
      </c>
      <c r="E6" s="117" t="s">
        <v>120</v>
      </c>
      <c r="F6" s="117" t="s">
        <v>299</v>
      </c>
      <c r="G6" s="117" t="s">
        <v>300</v>
      </c>
      <c r="H6" s="117" t="s">
        <v>101</v>
      </c>
      <c r="I6" s="117" t="s">
        <v>306</v>
      </c>
      <c r="J6" s="117" t="s">
        <v>302</v>
      </c>
      <c r="K6" s="117" t="s">
        <v>307</v>
      </c>
      <c r="L6" s="117" t="s">
        <v>96</v>
      </c>
      <c r="M6" s="117" t="s">
        <v>304</v>
      </c>
      <c r="N6" s="118">
        <v>76.239490000000004</v>
      </c>
      <c r="O6" s="111">
        <f t="shared" si="0"/>
        <v>1.9059872500000001</v>
      </c>
    </row>
    <row r="7" spans="2:15">
      <c r="B7" s="117" t="s">
        <v>297</v>
      </c>
      <c r="C7" s="117" t="s">
        <v>298</v>
      </c>
      <c r="D7" s="117" t="s">
        <v>48</v>
      </c>
      <c r="E7" s="117" t="s">
        <v>120</v>
      </c>
      <c r="F7" s="117" t="s">
        <v>299</v>
      </c>
      <c r="G7" s="117" t="s">
        <v>305</v>
      </c>
      <c r="H7" s="117" t="s">
        <v>101</v>
      </c>
      <c r="I7" s="117" t="s">
        <v>306</v>
      </c>
      <c r="J7" s="117" t="s">
        <v>302</v>
      </c>
      <c r="K7" s="117" t="s">
        <v>307</v>
      </c>
      <c r="L7" s="117" t="s">
        <v>96</v>
      </c>
      <c r="M7" s="117" t="s">
        <v>304</v>
      </c>
      <c r="N7" s="118">
        <v>0.83862999999999999</v>
      </c>
      <c r="O7" s="111">
        <f t="shared" si="0"/>
        <v>0.24991174000000002</v>
      </c>
    </row>
    <row r="8" spans="2:15">
      <c r="B8" s="117" t="s">
        <v>297</v>
      </c>
      <c r="C8" s="117" t="s">
        <v>298</v>
      </c>
      <c r="D8" s="117" t="s">
        <v>48</v>
      </c>
      <c r="E8" s="117" t="s">
        <v>120</v>
      </c>
      <c r="F8" s="117" t="s">
        <v>299</v>
      </c>
      <c r="G8" s="117" t="s">
        <v>305</v>
      </c>
      <c r="H8" s="117" t="s">
        <v>106</v>
      </c>
      <c r="I8" s="117" t="s">
        <v>306</v>
      </c>
      <c r="J8" s="117" t="s">
        <v>302</v>
      </c>
      <c r="K8" s="117" t="s">
        <v>307</v>
      </c>
      <c r="L8" s="117" t="s">
        <v>96</v>
      </c>
      <c r="M8" s="117" t="s">
        <v>304</v>
      </c>
      <c r="N8" s="118">
        <v>0.85648000000000002</v>
      </c>
      <c r="O8" s="111">
        <f t="shared" si="0"/>
        <v>0.25523104000000002</v>
      </c>
    </row>
    <row r="9" spans="2:15">
      <c r="B9" s="117" t="s">
        <v>297</v>
      </c>
      <c r="C9" s="117" t="s">
        <v>298</v>
      </c>
      <c r="D9" s="117" t="s">
        <v>48</v>
      </c>
      <c r="E9" s="117" t="s">
        <v>120</v>
      </c>
      <c r="F9" s="117" t="s">
        <v>299</v>
      </c>
      <c r="G9" s="117" t="s">
        <v>305</v>
      </c>
      <c r="H9" s="117" t="s">
        <v>101</v>
      </c>
      <c r="I9" s="117" t="s">
        <v>301</v>
      </c>
      <c r="J9" s="117" t="s">
        <v>302</v>
      </c>
      <c r="K9" s="117" t="s">
        <v>303</v>
      </c>
      <c r="L9" s="117" t="s">
        <v>96</v>
      </c>
      <c r="M9" s="117" t="s">
        <v>304</v>
      </c>
      <c r="N9" s="118">
        <v>7.8609099999999996</v>
      </c>
      <c r="O9" s="111">
        <f t="shared" si="0"/>
        <v>2.3425511800000001</v>
      </c>
    </row>
    <row r="10" spans="2:15">
      <c r="B10" s="117" t="s">
        <v>297</v>
      </c>
      <c r="C10" s="117" t="s">
        <v>298</v>
      </c>
      <c r="D10" s="117" t="s">
        <v>48</v>
      </c>
      <c r="E10" s="117" t="s">
        <v>120</v>
      </c>
      <c r="F10" s="117" t="s">
        <v>299</v>
      </c>
      <c r="G10" s="117" t="s">
        <v>305</v>
      </c>
      <c r="H10" s="117" t="s">
        <v>95</v>
      </c>
      <c r="I10" s="117" t="s">
        <v>301</v>
      </c>
      <c r="J10" s="117" t="s">
        <v>302</v>
      </c>
      <c r="K10" s="117" t="s">
        <v>303</v>
      </c>
      <c r="L10" s="117" t="s">
        <v>96</v>
      </c>
      <c r="M10" s="117" t="s">
        <v>304</v>
      </c>
      <c r="N10" s="118">
        <v>8.0262200000000004</v>
      </c>
      <c r="O10" s="111">
        <f t="shared" si="0"/>
        <v>2.3918135600000001</v>
      </c>
    </row>
    <row r="11" spans="2:15">
      <c r="B11" s="117" t="s">
        <v>297</v>
      </c>
      <c r="C11" s="117" t="s">
        <v>298</v>
      </c>
      <c r="D11" s="117" t="s">
        <v>48</v>
      </c>
      <c r="E11" s="117" t="s">
        <v>120</v>
      </c>
      <c r="F11" s="117" t="s">
        <v>299</v>
      </c>
      <c r="G11" s="117" t="s">
        <v>305</v>
      </c>
      <c r="H11" s="117" t="s">
        <v>106</v>
      </c>
      <c r="I11" s="117" t="s">
        <v>301</v>
      </c>
      <c r="J11" s="117" t="s">
        <v>302</v>
      </c>
      <c r="K11" s="117" t="s">
        <v>303</v>
      </c>
      <c r="L11" s="117" t="s">
        <v>96</v>
      </c>
      <c r="M11" s="117" t="s">
        <v>304</v>
      </c>
      <c r="N11" s="118">
        <v>8.3531200000000005</v>
      </c>
      <c r="O11" s="111">
        <f t="shared" si="0"/>
        <v>2.4892297600000002</v>
      </c>
    </row>
    <row r="12" spans="2:15">
      <c r="B12" s="117" t="s">
        <v>297</v>
      </c>
      <c r="C12" s="117" t="s">
        <v>298</v>
      </c>
      <c r="D12" s="117" t="s">
        <v>46</v>
      </c>
      <c r="E12" s="117" t="s">
        <v>108</v>
      </c>
      <c r="F12" s="117" t="s">
        <v>299</v>
      </c>
      <c r="G12" s="117" t="s">
        <v>300</v>
      </c>
      <c r="H12" s="117" t="s">
        <v>101</v>
      </c>
      <c r="I12" s="117" t="s">
        <v>301</v>
      </c>
      <c r="J12" s="117" t="s">
        <v>302</v>
      </c>
      <c r="K12" s="117" t="s">
        <v>303</v>
      </c>
      <c r="L12" s="117" t="s">
        <v>96</v>
      </c>
      <c r="M12" s="117" t="s">
        <v>304</v>
      </c>
      <c r="N12" s="118">
        <v>236.10694000000001</v>
      </c>
      <c r="O12" s="111">
        <f t="shared" si="0"/>
        <v>5.9026734999999997</v>
      </c>
    </row>
    <row r="13" spans="2:15">
      <c r="B13" s="117" t="s">
        <v>297</v>
      </c>
      <c r="C13" s="117" t="s">
        <v>298</v>
      </c>
      <c r="D13" s="117" t="s">
        <v>46</v>
      </c>
      <c r="E13" s="117" t="s">
        <v>108</v>
      </c>
      <c r="F13" s="117" t="s">
        <v>299</v>
      </c>
      <c r="G13" s="117" t="s">
        <v>300</v>
      </c>
      <c r="H13" s="117" t="s">
        <v>106</v>
      </c>
      <c r="I13" s="117" t="s">
        <v>306</v>
      </c>
      <c r="J13" s="117" t="s">
        <v>302</v>
      </c>
      <c r="K13" s="117" t="s">
        <v>307</v>
      </c>
      <c r="L13" s="117" t="s">
        <v>96</v>
      </c>
      <c r="M13" s="117" t="s">
        <v>304</v>
      </c>
      <c r="N13" s="118">
        <v>46.46237</v>
      </c>
      <c r="O13" s="111">
        <f t="shared" si="0"/>
        <v>1.16155925</v>
      </c>
    </row>
    <row r="14" spans="2:15">
      <c r="B14" s="117" t="s">
        <v>297</v>
      </c>
      <c r="C14" s="117" t="s">
        <v>298</v>
      </c>
      <c r="D14" s="117" t="s">
        <v>46</v>
      </c>
      <c r="E14" s="117" t="s">
        <v>108</v>
      </c>
      <c r="F14" s="117" t="s">
        <v>299</v>
      </c>
      <c r="G14" s="117" t="s">
        <v>300</v>
      </c>
      <c r="H14" s="117" t="s">
        <v>106</v>
      </c>
      <c r="I14" s="117" t="s">
        <v>301</v>
      </c>
      <c r="J14" s="117" t="s">
        <v>302</v>
      </c>
      <c r="K14" s="117" t="s">
        <v>303</v>
      </c>
      <c r="L14" s="117" t="s">
        <v>96</v>
      </c>
      <c r="M14" s="117" t="s">
        <v>304</v>
      </c>
      <c r="N14" s="118">
        <v>233.50615999999999</v>
      </c>
      <c r="O14" s="111">
        <f t="shared" si="0"/>
        <v>5.8376539999999997</v>
      </c>
    </row>
    <row r="15" spans="2:15">
      <c r="B15" s="117" t="s">
        <v>297</v>
      </c>
      <c r="C15" s="117" t="s">
        <v>298</v>
      </c>
      <c r="D15" s="117" t="s">
        <v>46</v>
      </c>
      <c r="E15" s="117" t="s">
        <v>108</v>
      </c>
      <c r="F15" s="117" t="s">
        <v>299</v>
      </c>
      <c r="G15" s="117" t="s">
        <v>305</v>
      </c>
      <c r="H15" s="117" t="s">
        <v>106</v>
      </c>
      <c r="I15" s="117" t="s">
        <v>301</v>
      </c>
      <c r="J15" s="117" t="s">
        <v>302</v>
      </c>
      <c r="K15" s="117" t="s">
        <v>303</v>
      </c>
      <c r="L15" s="117" t="s">
        <v>96</v>
      </c>
      <c r="M15" s="117" t="s">
        <v>304</v>
      </c>
      <c r="N15" s="118">
        <v>13.46597</v>
      </c>
      <c r="O15" s="111">
        <f t="shared" si="0"/>
        <v>4.0128590600000003</v>
      </c>
    </row>
    <row r="16" spans="2:15">
      <c r="B16" s="117" t="s">
        <v>297</v>
      </c>
      <c r="C16" s="117" t="s">
        <v>298</v>
      </c>
      <c r="D16" s="117" t="s">
        <v>46</v>
      </c>
      <c r="E16" s="117" t="s">
        <v>108</v>
      </c>
      <c r="F16" s="117" t="s">
        <v>299</v>
      </c>
      <c r="G16" s="117" t="s">
        <v>305</v>
      </c>
      <c r="H16" s="117" t="s">
        <v>101</v>
      </c>
      <c r="I16" s="117" t="s">
        <v>306</v>
      </c>
      <c r="J16" s="117" t="s">
        <v>302</v>
      </c>
      <c r="K16" s="117" t="s">
        <v>307</v>
      </c>
      <c r="L16" s="117" t="s">
        <v>96</v>
      </c>
      <c r="M16" s="117" t="s">
        <v>304</v>
      </c>
      <c r="N16" s="118">
        <v>0.50139</v>
      </c>
      <c r="O16" s="111">
        <f t="shared" si="0"/>
        <v>0.14941421999999999</v>
      </c>
    </row>
    <row r="17" spans="2:15">
      <c r="B17" s="117" t="s">
        <v>297</v>
      </c>
      <c r="C17" s="117" t="s">
        <v>298</v>
      </c>
      <c r="D17" s="117" t="s">
        <v>45</v>
      </c>
      <c r="E17" s="117" t="s">
        <v>61</v>
      </c>
      <c r="F17" s="117" t="s">
        <v>299</v>
      </c>
      <c r="G17" s="117" t="s">
        <v>300</v>
      </c>
      <c r="H17" s="117" t="s">
        <v>106</v>
      </c>
      <c r="I17" s="117" t="s">
        <v>306</v>
      </c>
      <c r="J17" s="117" t="s">
        <v>302</v>
      </c>
      <c r="K17" s="117" t="s">
        <v>307</v>
      </c>
      <c r="L17" s="117" t="s">
        <v>96</v>
      </c>
      <c r="M17" s="117" t="s">
        <v>304</v>
      </c>
      <c r="N17" s="118">
        <v>160.93979999999999</v>
      </c>
      <c r="O17" s="111">
        <f t="shared" si="0"/>
        <v>4.0234949999999996</v>
      </c>
    </row>
    <row r="18" spans="2:15">
      <c r="B18" s="117" t="s">
        <v>297</v>
      </c>
      <c r="C18" s="117" t="s">
        <v>298</v>
      </c>
      <c r="D18" s="117" t="s">
        <v>46</v>
      </c>
      <c r="E18" s="117" t="s">
        <v>108</v>
      </c>
      <c r="F18" s="117" t="s">
        <v>299</v>
      </c>
      <c r="G18" s="117" t="s">
        <v>300</v>
      </c>
      <c r="H18" s="117" t="s">
        <v>101</v>
      </c>
      <c r="I18" s="117" t="s">
        <v>306</v>
      </c>
      <c r="J18" s="117" t="s">
        <v>302</v>
      </c>
      <c r="K18" s="117" t="s">
        <v>307</v>
      </c>
      <c r="L18" s="117" t="s">
        <v>96</v>
      </c>
      <c r="M18" s="117" t="s">
        <v>304</v>
      </c>
      <c r="N18" s="118">
        <v>66.965320000000006</v>
      </c>
      <c r="O18" s="111">
        <f t="shared" si="0"/>
        <v>1.6741330000000001</v>
      </c>
    </row>
    <row r="19" spans="2:15">
      <c r="B19" s="117" t="s">
        <v>297</v>
      </c>
      <c r="C19" s="117" t="s">
        <v>298</v>
      </c>
      <c r="D19" s="117" t="s">
        <v>45</v>
      </c>
      <c r="E19" s="117" t="s">
        <v>61</v>
      </c>
      <c r="F19" s="117" t="s">
        <v>299</v>
      </c>
      <c r="G19" s="117" t="s">
        <v>305</v>
      </c>
      <c r="H19" s="117" t="s">
        <v>106</v>
      </c>
      <c r="I19" s="117" t="s">
        <v>306</v>
      </c>
      <c r="J19" s="117" t="s">
        <v>302</v>
      </c>
      <c r="K19" s="117" t="s">
        <v>307</v>
      </c>
      <c r="L19" s="117" t="s">
        <v>96</v>
      </c>
      <c r="M19" s="117" t="s">
        <v>304</v>
      </c>
      <c r="N19" s="118">
        <v>0.55640000000000001</v>
      </c>
      <c r="O19" s="111">
        <f t="shared" si="0"/>
        <v>0.16580719999999999</v>
      </c>
    </row>
    <row r="20" spans="2:15">
      <c r="B20" s="117" t="s">
        <v>297</v>
      </c>
      <c r="C20" s="117" t="s">
        <v>298</v>
      </c>
      <c r="D20" s="117" t="s">
        <v>45</v>
      </c>
      <c r="E20" s="117" t="s">
        <v>61</v>
      </c>
      <c r="F20" s="117" t="s">
        <v>299</v>
      </c>
      <c r="G20" s="117" t="s">
        <v>305</v>
      </c>
      <c r="H20" s="117" t="s">
        <v>101</v>
      </c>
      <c r="I20" s="117" t="s">
        <v>306</v>
      </c>
      <c r="J20" s="117" t="s">
        <v>302</v>
      </c>
      <c r="K20" s="117" t="s">
        <v>307</v>
      </c>
      <c r="L20" s="117" t="s">
        <v>96</v>
      </c>
      <c r="M20" s="117" t="s">
        <v>304</v>
      </c>
      <c r="N20" s="118">
        <v>0.49301</v>
      </c>
      <c r="O20" s="111">
        <f t="shared" si="0"/>
        <v>0.14691698</v>
      </c>
    </row>
    <row r="21" spans="2:15">
      <c r="B21" s="117" t="s">
        <v>297</v>
      </c>
      <c r="C21" s="117" t="s">
        <v>298</v>
      </c>
      <c r="D21" s="117" t="s">
        <v>44</v>
      </c>
      <c r="E21" s="117" t="s">
        <v>127</v>
      </c>
      <c r="F21" s="117" t="s">
        <v>299</v>
      </c>
      <c r="G21" s="117" t="s">
        <v>300</v>
      </c>
      <c r="H21" s="117" t="s">
        <v>95</v>
      </c>
      <c r="I21" s="117" t="s">
        <v>301</v>
      </c>
      <c r="J21" s="117" t="s">
        <v>302</v>
      </c>
      <c r="K21" s="117" t="s">
        <v>303</v>
      </c>
      <c r="L21" s="117" t="s">
        <v>96</v>
      </c>
      <c r="M21" s="117" t="s">
        <v>304</v>
      </c>
      <c r="N21" s="118">
        <v>163.97832</v>
      </c>
      <c r="O21" s="111">
        <f t="shared" si="0"/>
        <v>4.0994579999999994</v>
      </c>
    </row>
    <row r="22" spans="2:15">
      <c r="B22" s="117" t="s">
        <v>297</v>
      </c>
      <c r="C22" s="117" t="s">
        <v>298</v>
      </c>
      <c r="D22" s="117" t="s">
        <v>44</v>
      </c>
      <c r="E22" s="117" t="s">
        <v>127</v>
      </c>
      <c r="F22" s="117" t="s">
        <v>299</v>
      </c>
      <c r="G22" s="117" t="s">
        <v>300</v>
      </c>
      <c r="H22" s="117" t="s">
        <v>95</v>
      </c>
      <c r="I22" s="117" t="s">
        <v>306</v>
      </c>
      <c r="J22" s="117" t="s">
        <v>302</v>
      </c>
      <c r="K22" s="117" t="s">
        <v>307</v>
      </c>
      <c r="L22" s="117" t="s">
        <v>96</v>
      </c>
      <c r="M22" s="117" t="s">
        <v>304</v>
      </c>
      <c r="N22" s="118">
        <v>31.384250000000002</v>
      </c>
      <c r="O22" s="111">
        <f t="shared" si="0"/>
        <v>0.78460625000000006</v>
      </c>
    </row>
    <row r="23" spans="2:15">
      <c r="B23" s="117" t="s">
        <v>297</v>
      </c>
      <c r="C23" s="117" t="s">
        <v>298</v>
      </c>
      <c r="D23" s="117" t="s">
        <v>44</v>
      </c>
      <c r="E23" s="117" t="s">
        <v>127</v>
      </c>
      <c r="F23" s="117" t="s">
        <v>299</v>
      </c>
      <c r="G23" s="117" t="s">
        <v>300</v>
      </c>
      <c r="H23" s="117" t="s">
        <v>101</v>
      </c>
      <c r="I23" s="117" t="s">
        <v>306</v>
      </c>
      <c r="J23" s="117" t="s">
        <v>302</v>
      </c>
      <c r="K23" s="117" t="s">
        <v>307</v>
      </c>
      <c r="L23" s="117" t="s">
        <v>96</v>
      </c>
      <c r="M23" s="117" t="s">
        <v>304</v>
      </c>
      <c r="N23" s="118">
        <v>28.3599</v>
      </c>
      <c r="O23" s="111">
        <f t="shared" si="0"/>
        <v>0.70899749999999995</v>
      </c>
    </row>
    <row r="24" spans="2:15">
      <c r="B24" s="117" t="s">
        <v>297</v>
      </c>
      <c r="C24" s="117" t="s">
        <v>298</v>
      </c>
      <c r="D24" s="117" t="s">
        <v>44</v>
      </c>
      <c r="E24" s="117" t="s">
        <v>127</v>
      </c>
      <c r="F24" s="117" t="s">
        <v>299</v>
      </c>
      <c r="G24" s="117" t="s">
        <v>305</v>
      </c>
      <c r="H24" s="117" t="s">
        <v>95</v>
      </c>
      <c r="I24" s="117" t="s">
        <v>301</v>
      </c>
      <c r="J24" s="117" t="s">
        <v>302</v>
      </c>
      <c r="K24" s="117" t="s">
        <v>303</v>
      </c>
      <c r="L24" s="117" t="s">
        <v>96</v>
      </c>
      <c r="M24" s="117" t="s">
        <v>304</v>
      </c>
      <c r="N24" s="118">
        <v>6.49702</v>
      </c>
      <c r="O24" s="111">
        <f t="shared" si="0"/>
        <v>1.9361119599999999</v>
      </c>
    </row>
    <row r="25" spans="2:15">
      <c r="B25" s="117" t="s">
        <v>297</v>
      </c>
      <c r="C25" s="117" t="s">
        <v>298</v>
      </c>
      <c r="D25" s="117" t="s">
        <v>46</v>
      </c>
      <c r="E25" s="117" t="s">
        <v>108</v>
      </c>
      <c r="F25" s="117" t="s">
        <v>299</v>
      </c>
      <c r="G25" s="117" t="s">
        <v>305</v>
      </c>
      <c r="H25" s="117" t="s">
        <v>95</v>
      </c>
      <c r="I25" s="117" t="s">
        <v>306</v>
      </c>
      <c r="J25" s="117" t="s">
        <v>302</v>
      </c>
      <c r="K25" s="117" t="s">
        <v>307</v>
      </c>
      <c r="L25" s="117" t="s">
        <v>96</v>
      </c>
      <c r="M25" s="117" t="s">
        <v>304</v>
      </c>
      <c r="N25" s="118">
        <v>0.50670999999999999</v>
      </c>
      <c r="O25" s="111">
        <f t="shared" si="0"/>
        <v>0.15099958000000002</v>
      </c>
    </row>
    <row r="26" spans="2:15">
      <c r="B26" s="117" t="s">
        <v>297</v>
      </c>
      <c r="C26" s="117" t="s">
        <v>298</v>
      </c>
      <c r="D26" s="117" t="s">
        <v>46</v>
      </c>
      <c r="E26" s="117" t="s">
        <v>108</v>
      </c>
      <c r="F26" s="117" t="s">
        <v>299</v>
      </c>
      <c r="G26" s="117" t="s">
        <v>305</v>
      </c>
      <c r="H26" s="117" t="s">
        <v>106</v>
      </c>
      <c r="I26" s="117" t="s">
        <v>306</v>
      </c>
      <c r="J26" s="117" t="s">
        <v>302</v>
      </c>
      <c r="K26" s="117" t="s">
        <v>307</v>
      </c>
      <c r="L26" s="117" t="s">
        <v>96</v>
      </c>
      <c r="M26" s="117" t="s">
        <v>304</v>
      </c>
      <c r="N26" s="118">
        <v>0.46162999999999998</v>
      </c>
      <c r="O26" s="111">
        <f t="shared" si="0"/>
        <v>0.13756573999999999</v>
      </c>
    </row>
    <row r="27" spans="2:15">
      <c r="B27" s="117" t="s">
        <v>297</v>
      </c>
      <c r="C27" s="117" t="s">
        <v>298</v>
      </c>
      <c r="D27" s="117" t="s">
        <v>44</v>
      </c>
      <c r="E27" s="117" t="s">
        <v>127</v>
      </c>
      <c r="F27" s="117" t="s">
        <v>299</v>
      </c>
      <c r="G27" s="117" t="s">
        <v>305</v>
      </c>
      <c r="H27" s="117" t="s">
        <v>95</v>
      </c>
      <c r="I27" s="117" t="s">
        <v>306</v>
      </c>
      <c r="J27" s="117" t="s">
        <v>302</v>
      </c>
      <c r="K27" s="117" t="s">
        <v>307</v>
      </c>
      <c r="L27" s="117" t="s">
        <v>96</v>
      </c>
      <c r="M27" s="117" t="s">
        <v>304</v>
      </c>
      <c r="N27" s="118">
        <v>0.56089</v>
      </c>
      <c r="O27" s="111">
        <f t="shared" si="0"/>
        <v>0.16714521999999998</v>
      </c>
    </row>
    <row r="28" spans="2:15">
      <c r="B28" s="117" t="s">
        <v>297</v>
      </c>
      <c r="C28" s="117" t="s">
        <v>298</v>
      </c>
      <c r="D28" s="117" t="s">
        <v>44</v>
      </c>
      <c r="E28" s="117" t="s">
        <v>127</v>
      </c>
      <c r="F28" s="117" t="s">
        <v>299</v>
      </c>
      <c r="G28" s="117" t="s">
        <v>305</v>
      </c>
      <c r="H28" s="117" t="s">
        <v>101</v>
      </c>
      <c r="I28" s="117" t="s">
        <v>301</v>
      </c>
      <c r="J28" s="117" t="s">
        <v>302</v>
      </c>
      <c r="K28" s="117" t="s">
        <v>303</v>
      </c>
      <c r="L28" s="117" t="s">
        <v>96</v>
      </c>
      <c r="M28" s="117" t="s">
        <v>304</v>
      </c>
      <c r="N28" s="118">
        <v>6.617</v>
      </c>
      <c r="O28" s="111">
        <f t="shared" si="0"/>
        <v>1.9718659999999999</v>
      </c>
    </row>
    <row r="29" spans="2:15">
      <c r="B29" s="117" t="s">
        <v>297</v>
      </c>
      <c r="C29" s="117" t="s">
        <v>298</v>
      </c>
      <c r="D29" s="117" t="s">
        <v>44</v>
      </c>
      <c r="E29" s="117" t="s">
        <v>127</v>
      </c>
      <c r="F29" s="117" t="s">
        <v>299</v>
      </c>
      <c r="G29" s="117" t="s">
        <v>305</v>
      </c>
      <c r="H29" s="117" t="s">
        <v>106</v>
      </c>
      <c r="I29" s="117" t="s">
        <v>306</v>
      </c>
      <c r="J29" s="117" t="s">
        <v>302</v>
      </c>
      <c r="K29" s="117" t="s">
        <v>307</v>
      </c>
      <c r="L29" s="117" t="s">
        <v>96</v>
      </c>
      <c r="M29" s="117" t="s">
        <v>304</v>
      </c>
      <c r="N29" s="118">
        <v>0.64802000000000004</v>
      </c>
      <c r="O29" s="111">
        <f t="shared" si="0"/>
        <v>0.19310996</v>
      </c>
    </row>
    <row r="30" spans="2:15">
      <c r="B30" s="117" t="s">
        <v>297</v>
      </c>
      <c r="C30" s="117" t="s">
        <v>298</v>
      </c>
      <c r="D30" s="117" t="s">
        <v>44</v>
      </c>
      <c r="E30" s="117" t="s">
        <v>127</v>
      </c>
      <c r="F30" s="117" t="s">
        <v>299</v>
      </c>
      <c r="G30" s="117" t="s">
        <v>305</v>
      </c>
      <c r="H30" s="117" t="s">
        <v>101</v>
      </c>
      <c r="I30" s="117" t="s">
        <v>306</v>
      </c>
      <c r="J30" s="117" t="s">
        <v>302</v>
      </c>
      <c r="K30" s="117" t="s">
        <v>307</v>
      </c>
      <c r="L30" s="117" t="s">
        <v>96</v>
      </c>
      <c r="M30" s="117" t="s">
        <v>304</v>
      </c>
      <c r="N30" s="118">
        <v>0.61677999999999999</v>
      </c>
      <c r="O30" s="111">
        <f t="shared" si="0"/>
        <v>0.18380044000000001</v>
      </c>
    </row>
    <row r="31" spans="2:15">
      <c r="B31" s="117" t="s">
        <v>297</v>
      </c>
      <c r="C31" s="117" t="s">
        <v>298</v>
      </c>
      <c r="D31" s="117" t="s">
        <v>43</v>
      </c>
      <c r="E31" s="117" t="s">
        <v>116</v>
      </c>
      <c r="F31" s="117" t="s">
        <v>299</v>
      </c>
      <c r="G31" s="117" t="s">
        <v>300</v>
      </c>
      <c r="H31" s="117" t="s">
        <v>95</v>
      </c>
      <c r="I31" s="117" t="s">
        <v>301</v>
      </c>
      <c r="J31" s="117" t="s">
        <v>302</v>
      </c>
      <c r="K31" s="117" t="s">
        <v>303</v>
      </c>
      <c r="L31" s="117" t="s">
        <v>96</v>
      </c>
      <c r="M31" s="117" t="s">
        <v>304</v>
      </c>
      <c r="N31" s="118">
        <v>15.736470000000001</v>
      </c>
      <c r="O31" s="111">
        <f t="shared" si="0"/>
        <v>0.39341175000000006</v>
      </c>
    </row>
    <row r="32" spans="2:15">
      <c r="B32" s="117" t="s">
        <v>297</v>
      </c>
      <c r="C32" s="117" t="s">
        <v>298</v>
      </c>
      <c r="D32" s="117" t="s">
        <v>43</v>
      </c>
      <c r="E32" s="117" t="s">
        <v>116</v>
      </c>
      <c r="F32" s="117" t="s">
        <v>299</v>
      </c>
      <c r="G32" s="117" t="s">
        <v>300</v>
      </c>
      <c r="H32" s="117" t="s">
        <v>101</v>
      </c>
      <c r="I32" s="117" t="s">
        <v>301</v>
      </c>
      <c r="J32" s="117" t="s">
        <v>302</v>
      </c>
      <c r="K32" s="117" t="s">
        <v>303</v>
      </c>
      <c r="L32" s="117" t="s">
        <v>96</v>
      </c>
      <c r="M32" s="117" t="s">
        <v>304</v>
      </c>
      <c r="N32" s="118">
        <v>16.399270000000001</v>
      </c>
      <c r="O32" s="111">
        <f t="shared" ref="O32:O95" si="1">IF(G32="CH4",N32*25,N32*298)/1000</f>
        <v>0.40998175000000003</v>
      </c>
    </row>
    <row r="33" spans="2:15">
      <c r="B33" s="117" t="s">
        <v>297</v>
      </c>
      <c r="C33" s="117" t="s">
        <v>298</v>
      </c>
      <c r="D33" s="117" t="s">
        <v>43</v>
      </c>
      <c r="E33" s="117" t="s">
        <v>116</v>
      </c>
      <c r="F33" s="117" t="s">
        <v>299</v>
      </c>
      <c r="G33" s="117" t="s">
        <v>300</v>
      </c>
      <c r="H33" s="117" t="s">
        <v>106</v>
      </c>
      <c r="I33" s="117" t="s">
        <v>301</v>
      </c>
      <c r="J33" s="117" t="s">
        <v>302</v>
      </c>
      <c r="K33" s="117" t="s">
        <v>303</v>
      </c>
      <c r="L33" s="117" t="s">
        <v>96</v>
      </c>
      <c r="M33" s="117" t="s">
        <v>304</v>
      </c>
      <c r="N33" s="118">
        <v>14.48053</v>
      </c>
      <c r="O33" s="111">
        <f t="shared" si="1"/>
        <v>0.36201324999999995</v>
      </c>
    </row>
    <row r="34" spans="2:15">
      <c r="B34" s="117" t="s">
        <v>297</v>
      </c>
      <c r="C34" s="117" t="s">
        <v>298</v>
      </c>
      <c r="D34" s="117" t="s">
        <v>43</v>
      </c>
      <c r="E34" s="117" t="s">
        <v>116</v>
      </c>
      <c r="F34" s="117" t="s">
        <v>299</v>
      </c>
      <c r="G34" s="117" t="s">
        <v>300</v>
      </c>
      <c r="H34" s="117" t="s">
        <v>106</v>
      </c>
      <c r="I34" s="117" t="s">
        <v>306</v>
      </c>
      <c r="J34" s="117" t="s">
        <v>302</v>
      </c>
      <c r="K34" s="117" t="s">
        <v>307</v>
      </c>
      <c r="L34" s="117" t="s">
        <v>96</v>
      </c>
      <c r="M34" s="117" t="s">
        <v>304</v>
      </c>
      <c r="N34" s="118">
        <v>19.82085</v>
      </c>
      <c r="O34" s="111">
        <f t="shared" si="1"/>
        <v>0.49552125000000002</v>
      </c>
    </row>
    <row r="35" spans="2:15">
      <c r="B35" s="117" t="s">
        <v>297</v>
      </c>
      <c r="C35" s="117" t="s">
        <v>298</v>
      </c>
      <c r="D35" s="117" t="s">
        <v>45</v>
      </c>
      <c r="E35" s="117" t="s">
        <v>61</v>
      </c>
      <c r="F35" s="117" t="s">
        <v>299</v>
      </c>
      <c r="G35" s="117" t="s">
        <v>300</v>
      </c>
      <c r="H35" s="117" t="s">
        <v>101</v>
      </c>
      <c r="I35" s="117" t="s">
        <v>306</v>
      </c>
      <c r="J35" s="117" t="s">
        <v>302</v>
      </c>
      <c r="K35" s="117" t="s">
        <v>307</v>
      </c>
      <c r="L35" s="117" t="s">
        <v>96</v>
      </c>
      <c r="M35" s="117" t="s">
        <v>304</v>
      </c>
      <c r="N35" s="118">
        <v>177.90916000000001</v>
      </c>
      <c r="O35" s="111">
        <f t="shared" si="1"/>
        <v>4.4477290000000007</v>
      </c>
    </row>
    <row r="36" spans="2:15">
      <c r="B36" s="117" t="s">
        <v>297</v>
      </c>
      <c r="C36" s="117" t="s">
        <v>298</v>
      </c>
      <c r="D36" s="117" t="s">
        <v>43</v>
      </c>
      <c r="E36" s="117" t="s">
        <v>116</v>
      </c>
      <c r="F36" s="117" t="s">
        <v>299</v>
      </c>
      <c r="G36" s="117" t="s">
        <v>305</v>
      </c>
      <c r="H36" s="117" t="s">
        <v>106</v>
      </c>
      <c r="I36" s="117" t="s">
        <v>301</v>
      </c>
      <c r="J36" s="117" t="s">
        <v>302</v>
      </c>
      <c r="K36" s="117" t="s">
        <v>303</v>
      </c>
      <c r="L36" s="117" t="s">
        <v>96</v>
      </c>
      <c r="M36" s="117" t="s">
        <v>304</v>
      </c>
      <c r="N36" s="118">
        <v>0.66069999999999995</v>
      </c>
      <c r="O36" s="111">
        <f t="shared" si="1"/>
        <v>0.1968886</v>
      </c>
    </row>
    <row r="37" spans="2:15">
      <c r="B37" s="117" t="s">
        <v>297</v>
      </c>
      <c r="C37" s="117" t="s">
        <v>298</v>
      </c>
      <c r="D37" s="117" t="s">
        <v>43</v>
      </c>
      <c r="E37" s="117" t="s">
        <v>116</v>
      </c>
      <c r="F37" s="117" t="s">
        <v>299</v>
      </c>
      <c r="G37" s="117" t="s">
        <v>305</v>
      </c>
      <c r="H37" s="117" t="s">
        <v>95</v>
      </c>
      <c r="I37" s="117" t="s">
        <v>301</v>
      </c>
      <c r="J37" s="117" t="s">
        <v>302</v>
      </c>
      <c r="K37" s="117" t="s">
        <v>303</v>
      </c>
      <c r="L37" s="117" t="s">
        <v>96</v>
      </c>
      <c r="M37" s="117" t="s">
        <v>304</v>
      </c>
      <c r="N37" s="118">
        <v>0.77109000000000005</v>
      </c>
      <c r="O37" s="111">
        <f t="shared" si="1"/>
        <v>0.22978482000000003</v>
      </c>
    </row>
    <row r="38" spans="2:15">
      <c r="B38" s="117" t="s">
        <v>297</v>
      </c>
      <c r="C38" s="117" t="s">
        <v>298</v>
      </c>
      <c r="D38" s="117" t="s">
        <v>43</v>
      </c>
      <c r="E38" s="117" t="s">
        <v>116</v>
      </c>
      <c r="F38" s="117" t="s">
        <v>299</v>
      </c>
      <c r="G38" s="117" t="s">
        <v>305</v>
      </c>
      <c r="H38" s="117" t="s">
        <v>106</v>
      </c>
      <c r="I38" s="117" t="s">
        <v>306</v>
      </c>
      <c r="J38" s="117" t="s">
        <v>302</v>
      </c>
      <c r="K38" s="117" t="s">
        <v>307</v>
      </c>
      <c r="L38" s="117" t="s">
        <v>96</v>
      </c>
      <c r="M38" s="117" t="s">
        <v>304</v>
      </c>
      <c r="N38" s="118">
        <v>6.515E-2</v>
      </c>
      <c r="O38" s="111">
        <f t="shared" si="1"/>
        <v>1.94147E-2</v>
      </c>
    </row>
    <row r="39" spans="2:15">
      <c r="B39" s="117" t="s">
        <v>297</v>
      </c>
      <c r="C39" s="117" t="s">
        <v>298</v>
      </c>
      <c r="D39" s="117" t="s">
        <v>43</v>
      </c>
      <c r="E39" s="117" t="s">
        <v>116</v>
      </c>
      <c r="F39" s="117" t="s">
        <v>299</v>
      </c>
      <c r="G39" s="117" t="s">
        <v>305</v>
      </c>
      <c r="H39" s="117" t="s">
        <v>101</v>
      </c>
      <c r="I39" s="117" t="s">
        <v>306</v>
      </c>
      <c r="J39" s="117" t="s">
        <v>302</v>
      </c>
      <c r="K39" s="117" t="s">
        <v>307</v>
      </c>
      <c r="L39" s="117" t="s">
        <v>96</v>
      </c>
      <c r="M39" s="117" t="s">
        <v>304</v>
      </c>
      <c r="N39" s="118">
        <v>5.6919999999999998E-2</v>
      </c>
      <c r="O39" s="111">
        <f t="shared" si="1"/>
        <v>1.696216E-2</v>
      </c>
    </row>
    <row r="40" spans="2:15">
      <c r="B40" s="117" t="s">
        <v>297</v>
      </c>
      <c r="C40" s="117" t="s">
        <v>298</v>
      </c>
      <c r="D40" s="117" t="s">
        <v>42</v>
      </c>
      <c r="E40" s="117" t="s">
        <v>63</v>
      </c>
      <c r="F40" s="117" t="s">
        <v>299</v>
      </c>
      <c r="G40" s="117" t="s">
        <v>300</v>
      </c>
      <c r="H40" s="117" t="s">
        <v>95</v>
      </c>
      <c r="I40" s="117" t="s">
        <v>301</v>
      </c>
      <c r="J40" s="117" t="s">
        <v>302</v>
      </c>
      <c r="K40" s="117" t="s">
        <v>303</v>
      </c>
      <c r="L40" s="117" t="s">
        <v>96</v>
      </c>
      <c r="M40" s="117" t="s">
        <v>304</v>
      </c>
      <c r="N40" s="118">
        <v>153.73311000000001</v>
      </c>
      <c r="O40" s="111">
        <f t="shared" si="1"/>
        <v>3.8433277500000003</v>
      </c>
    </row>
    <row r="41" spans="2:15">
      <c r="B41" s="117" t="s">
        <v>297</v>
      </c>
      <c r="C41" s="117" t="s">
        <v>298</v>
      </c>
      <c r="D41" s="117" t="s">
        <v>42</v>
      </c>
      <c r="E41" s="117" t="s">
        <v>63</v>
      </c>
      <c r="F41" s="117" t="s">
        <v>299</v>
      </c>
      <c r="G41" s="117" t="s">
        <v>300</v>
      </c>
      <c r="H41" s="117" t="s">
        <v>95</v>
      </c>
      <c r="I41" s="117" t="s">
        <v>306</v>
      </c>
      <c r="J41" s="117" t="s">
        <v>302</v>
      </c>
      <c r="K41" s="117" t="s">
        <v>307</v>
      </c>
      <c r="L41" s="117" t="s">
        <v>96</v>
      </c>
      <c r="M41" s="117" t="s">
        <v>304</v>
      </c>
      <c r="N41" s="118">
        <v>149.52734000000001</v>
      </c>
      <c r="O41" s="111">
        <f t="shared" si="1"/>
        <v>3.7381834999999999</v>
      </c>
    </row>
    <row r="42" spans="2:15">
      <c r="B42" s="117" t="s">
        <v>297</v>
      </c>
      <c r="C42" s="117" t="s">
        <v>298</v>
      </c>
      <c r="D42" s="117" t="s">
        <v>45</v>
      </c>
      <c r="E42" s="117" t="s">
        <v>61</v>
      </c>
      <c r="F42" s="117" t="s">
        <v>299</v>
      </c>
      <c r="G42" s="117" t="s">
        <v>305</v>
      </c>
      <c r="H42" s="117" t="s">
        <v>106</v>
      </c>
      <c r="I42" s="117" t="s">
        <v>301</v>
      </c>
      <c r="J42" s="117" t="s">
        <v>302</v>
      </c>
      <c r="K42" s="117" t="s">
        <v>303</v>
      </c>
      <c r="L42" s="117" t="s">
        <v>96</v>
      </c>
      <c r="M42" s="117" t="s">
        <v>304</v>
      </c>
      <c r="N42" s="118">
        <v>13.710459999999999</v>
      </c>
      <c r="O42" s="111">
        <f t="shared" si="1"/>
        <v>4.0857170800000002</v>
      </c>
    </row>
    <row r="43" spans="2:15">
      <c r="B43" s="117" t="s">
        <v>297</v>
      </c>
      <c r="C43" s="117" t="s">
        <v>298</v>
      </c>
      <c r="D43" s="117" t="s">
        <v>45</v>
      </c>
      <c r="E43" s="117" t="s">
        <v>61</v>
      </c>
      <c r="F43" s="117" t="s">
        <v>299</v>
      </c>
      <c r="G43" s="117" t="s">
        <v>305</v>
      </c>
      <c r="H43" s="117" t="s">
        <v>95</v>
      </c>
      <c r="I43" s="117" t="s">
        <v>306</v>
      </c>
      <c r="J43" s="117" t="s">
        <v>302</v>
      </c>
      <c r="K43" s="117" t="s">
        <v>307</v>
      </c>
      <c r="L43" s="117" t="s">
        <v>96</v>
      </c>
      <c r="M43" s="117" t="s">
        <v>304</v>
      </c>
      <c r="N43" s="118">
        <v>0.49671999999999999</v>
      </c>
      <c r="O43" s="111">
        <f t="shared" si="1"/>
        <v>0.14802256</v>
      </c>
    </row>
    <row r="44" spans="2:15">
      <c r="B44" s="117" t="s">
        <v>297</v>
      </c>
      <c r="C44" s="117" t="s">
        <v>298</v>
      </c>
      <c r="D44" s="117" t="s">
        <v>44</v>
      </c>
      <c r="E44" s="117" t="s">
        <v>127</v>
      </c>
      <c r="F44" s="117" t="s">
        <v>299</v>
      </c>
      <c r="G44" s="117" t="s">
        <v>300</v>
      </c>
      <c r="H44" s="117" t="s">
        <v>106</v>
      </c>
      <c r="I44" s="117" t="s">
        <v>306</v>
      </c>
      <c r="J44" s="117" t="s">
        <v>302</v>
      </c>
      <c r="K44" s="117" t="s">
        <v>307</v>
      </c>
      <c r="L44" s="117" t="s">
        <v>96</v>
      </c>
      <c r="M44" s="117" t="s">
        <v>304</v>
      </c>
      <c r="N44" s="118">
        <v>25.736229999999999</v>
      </c>
      <c r="O44" s="111">
        <f t="shared" si="1"/>
        <v>0.64340575</v>
      </c>
    </row>
    <row r="45" spans="2:15">
      <c r="B45" s="117" t="s">
        <v>297</v>
      </c>
      <c r="C45" s="117" t="s">
        <v>298</v>
      </c>
      <c r="D45" s="117" t="s">
        <v>42</v>
      </c>
      <c r="E45" s="117" t="s">
        <v>63</v>
      </c>
      <c r="F45" s="117" t="s">
        <v>299</v>
      </c>
      <c r="G45" s="117" t="s">
        <v>305</v>
      </c>
      <c r="H45" s="117" t="s">
        <v>106</v>
      </c>
      <c r="I45" s="117" t="s">
        <v>301</v>
      </c>
      <c r="J45" s="117" t="s">
        <v>302</v>
      </c>
      <c r="K45" s="117" t="s">
        <v>303</v>
      </c>
      <c r="L45" s="117" t="s">
        <v>96</v>
      </c>
      <c r="M45" s="117" t="s">
        <v>304</v>
      </c>
      <c r="N45" s="118">
        <v>14.985150000000001</v>
      </c>
      <c r="O45" s="111">
        <f t="shared" si="1"/>
        <v>4.4655747000000003</v>
      </c>
    </row>
    <row r="46" spans="2:15">
      <c r="B46" s="117" t="s">
        <v>297</v>
      </c>
      <c r="C46" s="117" t="s">
        <v>298</v>
      </c>
      <c r="D46" s="117" t="s">
        <v>42</v>
      </c>
      <c r="E46" s="117" t="s">
        <v>63</v>
      </c>
      <c r="F46" s="117" t="s">
        <v>299</v>
      </c>
      <c r="G46" s="117" t="s">
        <v>305</v>
      </c>
      <c r="H46" s="117" t="s">
        <v>101</v>
      </c>
      <c r="I46" s="117" t="s">
        <v>301</v>
      </c>
      <c r="J46" s="117" t="s">
        <v>302</v>
      </c>
      <c r="K46" s="117" t="s">
        <v>303</v>
      </c>
      <c r="L46" s="117" t="s">
        <v>96</v>
      </c>
      <c r="M46" s="117" t="s">
        <v>304</v>
      </c>
      <c r="N46" s="118">
        <v>13.617900000000001</v>
      </c>
      <c r="O46" s="111">
        <f t="shared" si="1"/>
        <v>4.0581341999999996</v>
      </c>
    </row>
    <row r="47" spans="2:15">
      <c r="B47" s="117" t="s">
        <v>297</v>
      </c>
      <c r="C47" s="117" t="s">
        <v>298</v>
      </c>
      <c r="D47" s="117" t="s">
        <v>42</v>
      </c>
      <c r="E47" s="117" t="s">
        <v>63</v>
      </c>
      <c r="F47" s="117" t="s">
        <v>299</v>
      </c>
      <c r="G47" s="117" t="s">
        <v>305</v>
      </c>
      <c r="H47" s="117" t="s">
        <v>95</v>
      </c>
      <c r="I47" s="117" t="s">
        <v>306</v>
      </c>
      <c r="J47" s="117" t="s">
        <v>302</v>
      </c>
      <c r="K47" s="117" t="s">
        <v>307</v>
      </c>
      <c r="L47" s="117" t="s">
        <v>96</v>
      </c>
      <c r="M47" s="117" t="s">
        <v>304</v>
      </c>
      <c r="N47" s="118">
        <v>0.81808000000000003</v>
      </c>
      <c r="O47" s="111">
        <f t="shared" si="1"/>
        <v>0.24378784000000001</v>
      </c>
    </row>
    <row r="48" spans="2:15">
      <c r="B48" s="117" t="s">
        <v>297</v>
      </c>
      <c r="C48" s="117" t="s">
        <v>298</v>
      </c>
      <c r="D48" s="117" t="s">
        <v>42</v>
      </c>
      <c r="E48" s="117" t="s">
        <v>63</v>
      </c>
      <c r="F48" s="117" t="s">
        <v>299</v>
      </c>
      <c r="G48" s="117" t="s">
        <v>305</v>
      </c>
      <c r="H48" s="117" t="s">
        <v>101</v>
      </c>
      <c r="I48" s="117" t="s">
        <v>306</v>
      </c>
      <c r="J48" s="117" t="s">
        <v>302</v>
      </c>
      <c r="K48" s="117" t="s">
        <v>307</v>
      </c>
      <c r="L48" s="117" t="s">
        <v>96</v>
      </c>
      <c r="M48" s="117" t="s">
        <v>304</v>
      </c>
      <c r="N48" s="118">
        <v>0.82877000000000001</v>
      </c>
      <c r="O48" s="111">
        <f t="shared" si="1"/>
        <v>0.24697345999999998</v>
      </c>
    </row>
    <row r="49" spans="2:15">
      <c r="B49" s="117" t="s">
        <v>297</v>
      </c>
      <c r="C49" s="117" t="s">
        <v>298</v>
      </c>
      <c r="D49" s="117" t="s">
        <v>42</v>
      </c>
      <c r="E49" s="117" t="s">
        <v>63</v>
      </c>
      <c r="F49" s="117" t="s">
        <v>299</v>
      </c>
      <c r="G49" s="117" t="s">
        <v>305</v>
      </c>
      <c r="H49" s="117" t="s">
        <v>106</v>
      </c>
      <c r="I49" s="117" t="s">
        <v>306</v>
      </c>
      <c r="J49" s="117" t="s">
        <v>302</v>
      </c>
      <c r="K49" s="117" t="s">
        <v>307</v>
      </c>
      <c r="L49" s="117" t="s">
        <v>96</v>
      </c>
      <c r="M49" s="117" t="s">
        <v>304</v>
      </c>
      <c r="N49" s="118">
        <v>0.81954000000000005</v>
      </c>
      <c r="O49" s="111">
        <f t="shared" si="1"/>
        <v>0.24422292000000001</v>
      </c>
    </row>
    <row r="50" spans="2:15">
      <c r="B50" s="117" t="s">
        <v>297</v>
      </c>
      <c r="C50" s="117" t="s">
        <v>298</v>
      </c>
      <c r="D50" s="117" t="s">
        <v>41</v>
      </c>
      <c r="E50" s="117" t="s">
        <v>110</v>
      </c>
      <c r="F50" s="117" t="s">
        <v>299</v>
      </c>
      <c r="G50" s="117" t="s">
        <v>300</v>
      </c>
      <c r="H50" s="117" t="s">
        <v>95</v>
      </c>
      <c r="I50" s="117" t="s">
        <v>301</v>
      </c>
      <c r="J50" s="117" t="s">
        <v>302</v>
      </c>
      <c r="K50" s="117" t="s">
        <v>303</v>
      </c>
      <c r="L50" s="117" t="s">
        <v>96</v>
      </c>
      <c r="M50" s="117" t="s">
        <v>304</v>
      </c>
      <c r="N50" s="118">
        <v>1282.11384</v>
      </c>
      <c r="O50" s="111">
        <f t="shared" si="1"/>
        <v>32.052845999999995</v>
      </c>
    </row>
    <row r="51" spans="2:15">
      <c r="B51" s="117" t="s">
        <v>297</v>
      </c>
      <c r="C51" s="117" t="s">
        <v>298</v>
      </c>
      <c r="D51" s="117" t="s">
        <v>41</v>
      </c>
      <c r="E51" s="117" t="s">
        <v>110</v>
      </c>
      <c r="F51" s="117" t="s">
        <v>299</v>
      </c>
      <c r="G51" s="117" t="s">
        <v>300</v>
      </c>
      <c r="H51" s="117" t="s">
        <v>106</v>
      </c>
      <c r="I51" s="117" t="s">
        <v>301</v>
      </c>
      <c r="J51" s="117" t="s">
        <v>302</v>
      </c>
      <c r="K51" s="117" t="s">
        <v>303</v>
      </c>
      <c r="L51" s="117" t="s">
        <v>96</v>
      </c>
      <c r="M51" s="117" t="s">
        <v>304</v>
      </c>
      <c r="N51" s="118">
        <v>1291.14687</v>
      </c>
      <c r="O51" s="111">
        <f t="shared" si="1"/>
        <v>32.278671750000001</v>
      </c>
    </row>
    <row r="52" spans="2:15">
      <c r="B52" s="117" t="s">
        <v>297</v>
      </c>
      <c r="C52" s="117" t="s">
        <v>298</v>
      </c>
      <c r="D52" s="117" t="s">
        <v>41</v>
      </c>
      <c r="E52" s="117" t="s">
        <v>110</v>
      </c>
      <c r="F52" s="117" t="s">
        <v>299</v>
      </c>
      <c r="G52" s="117" t="s">
        <v>300</v>
      </c>
      <c r="H52" s="117" t="s">
        <v>101</v>
      </c>
      <c r="I52" s="117" t="s">
        <v>306</v>
      </c>
      <c r="J52" s="117" t="s">
        <v>302</v>
      </c>
      <c r="K52" s="117" t="s">
        <v>307</v>
      </c>
      <c r="L52" s="117" t="s">
        <v>96</v>
      </c>
      <c r="M52" s="117" t="s">
        <v>304</v>
      </c>
      <c r="N52" s="118">
        <v>556.87104999999997</v>
      </c>
      <c r="O52" s="111">
        <f t="shared" si="1"/>
        <v>13.921776249999999</v>
      </c>
    </row>
    <row r="53" spans="2:15">
      <c r="B53" s="117" t="s">
        <v>297</v>
      </c>
      <c r="C53" s="117" t="s">
        <v>298</v>
      </c>
      <c r="D53" s="117" t="s">
        <v>41</v>
      </c>
      <c r="E53" s="117" t="s">
        <v>110</v>
      </c>
      <c r="F53" s="117" t="s">
        <v>299</v>
      </c>
      <c r="G53" s="117" t="s">
        <v>305</v>
      </c>
      <c r="H53" s="117" t="s">
        <v>106</v>
      </c>
      <c r="I53" s="117" t="s">
        <v>301</v>
      </c>
      <c r="J53" s="117" t="s">
        <v>302</v>
      </c>
      <c r="K53" s="117" t="s">
        <v>303</v>
      </c>
      <c r="L53" s="117" t="s">
        <v>96</v>
      </c>
      <c r="M53" s="117" t="s">
        <v>304</v>
      </c>
      <c r="N53" s="118">
        <v>106.05873</v>
      </c>
      <c r="O53" s="111">
        <f t="shared" si="1"/>
        <v>31.605501539999999</v>
      </c>
    </row>
    <row r="54" spans="2:15">
      <c r="B54" s="117" t="s">
        <v>297</v>
      </c>
      <c r="C54" s="117" t="s">
        <v>298</v>
      </c>
      <c r="D54" s="117" t="s">
        <v>41</v>
      </c>
      <c r="E54" s="117" t="s">
        <v>110</v>
      </c>
      <c r="F54" s="117" t="s">
        <v>299</v>
      </c>
      <c r="G54" s="117" t="s">
        <v>305</v>
      </c>
      <c r="H54" s="117" t="s">
        <v>101</v>
      </c>
      <c r="I54" s="117" t="s">
        <v>301</v>
      </c>
      <c r="J54" s="117" t="s">
        <v>302</v>
      </c>
      <c r="K54" s="117" t="s">
        <v>303</v>
      </c>
      <c r="L54" s="117" t="s">
        <v>96</v>
      </c>
      <c r="M54" s="117" t="s">
        <v>304</v>
      </c>
      <c r="N54" s="118">
        <v>96.360609999999994</v>
      </c>
      <c r="O54" s="111">
        <f t="shared" si="1"/>
        <v>28.715461779999998</v>
      </c>
    </row>
    <row r="55" spans="2:15">
      <c r="B55" s="117" t="s">
        <v>297</v>
      </c>
      <c r="C55" s="117" t="s">
        <v>298</v>
      </c>
      <c r="D55" s="117" t="s">
        <v>41</v>
      </c>
      <c r="E55" s="117" t="s">
        <v>110</v>
      </c>
      <c r="F55" s="117" t="s">
        <v>299</v>
      </c>
      <c r="G55" s="117" t="s">
        <v>305</v>
      </c>
      <c r="H55" s="117" t="s">
        <v>101</v>
      </c>
      <c r="I55" s="117" t="s">
        <v>306</v>
      </c>
      <c r="J55" s="117" t="s">
        <v>302</v>
      </c>
      <c r="K55" s="117" t="s">
        <v>307</v>
      </c>
      <c r="L55" s="117" t="s">
        <v>96</v>
      </c>
      <c r="M55" s="117" t="s">
        <v>304</v>
      </c>
      <c r="N55" s="118">
        <v>2.6449400000000001</v>
      </c>
      <c r="O55" s="111">
        <f t="shared" si="1"/>
        <v>0.78819212000000005</v>
      </c>
    </row>
    <row r="56" spans="2:15">
      <c r="B56" s="117" t="s">
        <v>297</v>
      </c>
      <c r="C56" s="117" t="s">
        <v>298</v>
      </c>
      <c r="D56" s="117" t="s">
        <v>41</v>
      </c>
      <c r="E56" s="117" t="s">
        <v>110</v>
      </c>
      <c r="F56" s="117" t="s">
        <v>299</v>
      </c>
      <c r="G56" s="117" t="s">
        <v>305</v>
      </c>
      <c r="H56" s="117" t="s">
        <v>106</v>
      </c>
      <c r="I56" s="117" t="s">
        <v>306</v>
      </c>
      <c r="J56" s="117" t="s">
        <v>302</v>
      </c>
      <c r="K56" s="117" t="s">
        <v>307</v>
      </c>
      <c r="L56" s="117" t="s">
        <v>96</v>
      </c>
      <c r="M56" s="117" t="s">
        <v>304</v>
      </c>
      <c r="N56" s="118">
        <v>2.8615499999999998</v>
      </c>
      <c r="O56" s="111">
        <f t="shared" si="1"/>
        <v>0.85274189999999994</v>
      </c>
    </row>
    <row r="57" spans="2:15">
      <c r="B57" s="117" t="s">
        <v>297</v>
      </c>
      <c r="C57" s="117" t="s">
        <v>298</v>
      </c>
      <c r="D57" s="117" t="s">
        <v>40</v>
      </c>
      <c r="E57" s="117" t="s">
        <v>109</v>
      </c>
      <c r="F57" s="117" t="s">
        <v>299</v>
      </c>
      <c r="G57" s="117" t="s">
        <v>300</v>
      </c>
      <c r="H57" s="117" t="s">
        <v>95</v>
      </c>
      <c r="I57" s="117" t="s">
        <v>306</v>
      </c>
      <c r="J57" s="117" t="s">
        <v>302</v>
      </c>
      <c r="K57" s="117" t="s">
        <v>307</v>
      </c>
      <c r="L57" s="117" t="s">
        <v>96</v>
      </c>
      <c r="M57" s="117" t="s">
        <v>304</v>
      </c>
      <c r="N57" s="118">
        <v>45.352539999999998</v>
      </c>
      <c r="O57" s="111">
        <f t="shared" si="1"/>
        <v>1.1338135</v>
      </c>
    </row>
    <row r="58" spans="2:15">
      <c r="B58" s="117" t="s">
        <v>297</v>
      </c>
      <c r="C58" s="117" t="s">
        <v>298</v>
      </c>
      <c r="D58" s="117" t="s">
        <v>43</v>
      </c>
      <c r="E58" s="117" t="s">
        <v>116</v>
      </c>
      <c r="F58" s="117" t="s">
        <v>299</v>
      </c>
      <c r="G58" s="117" t="s">
        <v>300</v>
      </c>
      <c r="H58" s="117" t="s">
        <v>95</v>
      </c>
      <c r="I58" s="117" t="s">
        <v>306</v>
      </c>
      <c r="J58" s="117" t="s">
        <v>302</v>
      </c>
      <c r="K58" s="117" t="s">
        <v>307</v>
      </c>
      <c r="L58" s="117" t="s">
        <v>96</v>
      </c>
      <c r="M58" s="117" t="s">
        <v>304</v>
      </c>
      <c r="N58" s="118">
        <v>18.860569999999999</v>
      </c>
      <c r="O58" s="111">
        <f t="shared" si="1"/>
        <v>0.47151425000000002</v>
      </c>
    </row>
    <row r="59" spans="2:15">
      <c r="B59" s="117" t="s">
        <v>297</v>
      </c>
      <c r="C59" s="117" t="s">
        <v>298</v>
      </c>
      <c r="D59" s="117" t="s">
        <v>40</v>
      </c>
      <c r="E59" s="117" t="s">
        <v>109</v>
      </c>
      <c r="F59" s="117" t="s">
        <v>299</v>
      </c>
      <c r="G59" s="117" t="s">
        <v>300</v>
      </c>
      <c r="H59" s="117" t="s">
        <v>101</v>
      </c>
      <c r="I59" s="117" t="s">
        <v>301</v>
      </c>
      <c r="J59" s="117" t="s">
        <v>302</v>
      </c>
      <c r="K59" s="117" t="s">
        <v>303</v>
      </c>
      <c r="L59" s="117" t="s">
        <v>96</v>
      </c>
      <c r="M59" s="117" t="s">
        <v>304</v>
      </c>
      <c r="N59" s="118">
        <v>225.30121</v>
      </c>
      <c r="O59" s="111">
        <f t="shared" si="1"/>
        <v>5.6325302499999994</v>
      </c>
    </row>
    <row r="60" spans="2:15">
      <c r="B60" s="117" t="s">
        <v>297</v>
      </c>
      <c r="C60" s="117" t="s">
        <v>298</v>
      </c>
      <c r="D60" s="117" t="s">
        <v>43</v>
      </c>
      <c r="E60" s="117" t="s">
        <v>116</v>
      </c>
      <c r="F60" s="117" t="s">
        <v>299</v>
      </c>
      <c r="G60" s="117" t="s">
        <v>305</v>
      </c>
      <c r="H60" s="117" t="s">
        <v>101</v>
      </c>
      <c r="I60" s="117" t="s">
        <v>301</v>
      </c>
      <c r="J60" s="117" t="s">
        <v>302</v>
      </c>
      <c r="K60" s="117" t="s">
        <v>303</v>
      </c>
      <c r="L60" s="117" t="s">
        <v>96</v>
      </c>
      <c r="M60" s="117" t="s">
        <v>304</v>
      </c>
      <c r="N60" s="118">
        <v>0.76095000000000002</v>
      </c>
      <c r="O60" s="111">
        <f t="shared" si="1"/>
        <v>0.2267631</v>
      </c>
    </row>
    <row r="61" spans="2:15">
      <c r="B61" s="117" t="s">
        <v>297</v>
      </c>
      <c r="C61" s="117" t="s">
        <v>298</v>
      </c>
      <c r="D61" s="117" t="s">
        <v>39</v>
      </c>
      <c r="E61" s="117" t="s">
        <v>64</v>
      </c>
      <c r="F61" s="117" t="s">
        <v>299</v>
      </c>
      <c r="G61" s="117" t="s">
        <v>300</v>
      </c>
      <c r="H61" s="117" t="s">
        <v>101</v>
      </c>
      <c r="I61" s="117" t="s">
        <v>301</v>
      </c>
      <c r="J61" s="117" t="s">
        <v>302</v>
      </c>
      <c r="K61" s="117" t="s">
        <v>303</v>
      </c>
      <c r="L61" s="117" t="s">
        <v>96</v>
      </c>
      <c r="M61" s="117" t="s">
        <v>304</v>
      </c>
      <c r="N61" s="118">
        <v>23.470009999999998</v>
      </c>
      <c r="O61" s="111">
        <f t="shared" si="1"/>
        <v>0.58675024999999992</v>
      </c>
    </row>
    <row r="62" spans="2:15">
      <c r="B62" s="117" t="s">
        <v>297</v>
      </c>
      <c r="C62" s="117" t="s">
        <v>298</v>
      </c>
      <c r="D62" s="117" t="s">
        <v>40</v>
      </c>
      <c r="E62" s="117" t="s">
        <v>109</v>
      </c>
      <c r="F62" s="117" t="s">
        <v>299</v>
      </c>
      <c r="G62" s="117" t="s">
        <v>305</v>
      </c>
      <c r="H62" s="117" t="s">
        <v>101</v>
      </c>
      <c r="I62" s="117" t="s">
        <v>301</v>
      </c>
      <c r="J62" s="117" t="s">
        <v>302</v>
      </c>
      <c r="K62" s="117" t="s">
        <v>303</v>
      </c>
      <c r="L62" s="117" t="s">
        <v>96</v>
      </c>
      <c r="M62" s="117" t="s">
        <v>304</v>
      </c>
      <c r="N62" s="118">
        <v>15.22589</v>
      </c>
      <c r="O62" s="111">
        <f t="shared" si="1"/>
        <v>4.5373152199999991</v>
      </c>
    </row>
    <row r="63" spans="2:15">
      <c r="B63" s="117" t="s">
        <v>297</v>
      </c>
      <c r="C63" s="117" t="s">
        <v>298</v>
      </c>
      <c r="D63" s="117" t="s">
        <v>40</v>
      </c>
      <c r="E63" s="117" t="s">
        <v>109</v>
      </c>
      <c r="F63" s="117" t="s">
        <v>299</v>
      </c>
      <c r="G63" s="117" t="s">
        <v>305</v>
      </c>
      <c r="H63" s="117" t="s">
        <v>106</v>
      </c>
      <c r="I63" s="117" t="s">
        <v>306</v>
      </c>
      <c r="J63" s="117" t="s">
        <v>302</v>
      </c>
      <c r="K63" s="117" t="s">
        <v>307</v>
      </c>
      <c r="L63" s="117" t="s">
        <v>96</v>
      </c>
      <c r="M63" s="117" t="s">
        <v>304</v>
      </c>
      <c r="N63" s="118">
        <v>0.59055999999999997</v>
      </c>
      <c r="O63" s="111">
        <f t="shared" si="1"/>
        <v>0.17598687999999998</v>
      </c>
    </row>
    <row r="64" spans="2:15">
      <c r="B64" s="117" t="s">
        <v>297</v>
      </c>
      <c r="C64" s="117" t="s">
        <v>298</v>
      </c>
      <c r="D64" s="117" t="s">
        <v>40</v>
      </c>
      <c r="E64" s="117" t="s">
        <v>109</v>
      </c>
      <c r="F64" s="117" t="s">
        <v>299</v>
      </c>
      <c r="G64" s="117" t="s">
        <v>305</v>
      </c>
      <c r="H64" s="117" t="s">
        <v>106</v>
      </c>
      <c r="I64" s="117" t="s">
        <v>301</v>
      </c>
      <c r="J64" s="117" t="s">
        <v>302</v>
      </c>
      <c r="K64" s="117" t="s">
        <v>303</v>
      </c>
      <c r="L64" s="117" t="s">
        <v>96</v>
      </c>
      <c r="M64" s="117" t="s">
        <v>304</v>
      </c>
      <c r="N64" s="118">
        <v>15.425739999999999</v>
      </c>
      <c r="O64" s="111">
        <f t="shared" si="1"/>
        <v>4.5968705199999995</v>
      </c>
    </row>
    <row r="65" spans="2:15">
      <c r="B65" s="117" t="s">
        <v>297</v>
      </c>
      <c r="C65" s="117" t="s">
        <v>298</v>
      </c>
      <c r="D65" s="117" t="s">
        <v>39</v>
      </c>
      <c r="E65" s="117" t="s">
        <v>64</v>
      </c>
      <c r="F65" s="117" t="s">
        <v>299</v>
      </c>
      <c r="G65" s="117" t="s">
        <v>300</v>
      </c>
      <c r="H65" s="117" t="s">
        <v>101</v>
      </c>
      <c r="I65" s="117" t="s">
        <v>306</v>
      </c>
      <c r="J65" s="117" t="s">
        <v>302</v>
      </c>
      <c r="K65" s="117" t="s">
        <v>307</v>
      </c>
      <c r="L65" s="117" t="s">
        <v>96</v>
      </c>
      <c r="M65" s="117" t="s">
        <v>304</v>
      </c>
      <c r="N65" s="118">
        <v>17.131019999999999</v>
      </c>
      <c r="O65" s="111">
        <f t="shared" si="1"/>
        <v>0.42827549999999998</v>
      </c>
    </row>
    <row r="66" spans="2:15">
      <c r="B66" s="117" t="s">
        <v>297</v>
      </c>
      <c r="C66" s="117" t="s">
        <v>298</v>
      </c>
      <c r="D66" s="117" t="s">
        <v>39</v>
      </c>
      <c r="E66" s="117" t="s">
        <v>64</v>
      </c>
      <c r="F66" s="117" t="s">
        <v>299</v>
      </c>
      <c r="G66" s="117" t="s">
        <v>300</v>
      </c>
      <c r="H66" s="117" t="s">
        <v>95</v>
      </c>
      <c r="I66" s="117" t="s">
        <v>306</v>
      </c>
      <c r="J66" s="117" t="s">
        <v>302</v>
      </c>
      <c r="K66" s="117" t="s">
        <v>307</v>
      </c>
      <c r="L66" s="117" t="s">
        <v>96</v>
      </c>
      <c r="M66" s="117" t="s">
        <v>304</v>
      </c>
      <c r="N66" s="118">
        <v>19.069749999999999</v>
      </c>
      <c r="O66" s="111">
        <f t="shared" si="1"/>
        <v>0.47674374999999997</v>
      </c>
    </row>
    <row r="67" spans="2:15">
      <c r="B67" s="117" t="s">
        <v>297</v>
      </c>
      <c r="C67" s="117" t="s">
        <v>298</v>
      </c>
      <c r="D67" s="117" t="s">
        <v>39</v>
      </c>
      <c r="E67" s="117" t="s">
        <v>64</v>
      </c>
      <c r="F67" s="117" t="s">
        <v>299</v>
      </c>
      <c r="G67" s="117" t="s">
        <v>305</v>
      </c>
      <c r="H67" s="117" t="s">
        <v>95</v>
      </c>
      <c r="I67" s="117" t="s">
        <v>301</v>
      </c>
      <c r="J67" s="117" t="s">
        <v>302</v>
      </c>
      <c r="K67" s="117" t="s">
        <v>303</v>
      </c>
      <c r="L67" s="117" t="s">
        <v>96</v>
      </c>
      <c r="M67" s="117" t="s">
        <v>304</v>
      </c>
      <c r="N67" s="118">
        <v>1.81118</v>
      </c>
      <c r="O67" s="111">
        <f t="shared" si="1"/>
        <v>0.53973163999999996</v>
      </c>
    </row>
    <row r="68" spans="2:15">
      <c r="B68" s="117" t="s">
        <v>297</v>
      </c>
      <c r="C68" s="117" t="s">
        <v>298</v>
      </c>
      <c r="D68" s="117" t="s">
        <v>37</v>
      </c>
      <c r="E68" s="117" t="s">
        <v>113</v>
      </c>
      <c r="F68" s="117" t="s">
        <v>299</v>
      </c>
      <c r="G68" s="117" t="s">
        <v>300</v>
      </c>
      <c r="H68" s="117" t="s">
        <v>106</v>
      </c>
      <c r="I68" s="117" t="s">
        <v>306</v>
      </c>
      <c r="J68" s="117" t="s">
        <v>302</v>
      </c>
      <c r="K68" s="117" t="s">
        <v>307</v>
      </c>
      <c r="L68" s="117" t="s">
        <v>96</v>
      </c>
      <c r="M68" s="117" t="s">
        <v>304</v>
      </c>
      <c r="N68" s="118">
        <v>476.57229999999998</v>
      </c>
      <c r="O68" s="111">
        <f t="shared" si="1"/>
        <v>11.9143075</v>
      </c>
    </row>
    <row r="69" spans="2:15">
      <c r="B69" s="117" t="s">
        <v>297</v>
      </c>
      <c r="C69" s="117" t="s">
        <v>298</v>
      </c>
      <c r="D69" s="117" t="s">
        <v>37</v>
      </c>
      <c r="E69" s="117" t="s">
        <v>113</v>
      </c>
      <c r="F69" s="117" t="s">
        <v>299</v>
      </c>
      <c r="G69" s="117" t="s">
        <v>305</v>
      </c>
      <c r="H69" s="117" t="s">
        <v>106</v>
      </c>
      <c r="I69" s="117" t="s">
        <v>301</v>
      </c>
      <c r="J69" s="117" t="s">
        <v>302</v>
      </c>
      <c r="K69" s="117" t="s">
        <v>303</v>
      </c>
      <c r="L69" s="117" t="s">
        <v>96</v>
      </c>
      <c r="M69" s="117" t="s">
        <v>304</v>
      </c>
      <c r="N69" s="118">
        <v>40.598730000000003</v>
      </c>
      <c r="O69" s="111">
        <f t="shared" si="1"/>
        <v>12.09842154</v>
      </c>
    </row>
    <row r="70" spans="2:15">
      <c r="B70" s="117" t="s">
        <v>297</v>
      </c>
      <c r="C70" s="117" t="s">
        <v>298</v>
      </c>
      <c r="D70" s="117" t="s">
        <v>308</v>
      </c>
      <c r="E70" s="117" t="s">
        <v>309</v>
      </c>
      <c r="F70" s="117" t="s">
        <v>299</v>
      </c>
      <c r="G70" s="117" t="s">
        <v>300</v>
      </c>
      <c r="H70" s="117" t="s">
        <v>101</v>
      </c>
      <c r="I70" s="117" t="s">
        <v>301</v>
      </c>
      <c r="J70" s="117" t="s">
        <v>302</v>
      </c>
      <c r="K70" s="117" t="s">
        <v>303</v>
      </c>
      <c r="L70" s="117" t="s">
        <v>96</v>
      </c>
      <c r="M70" s="117" t="s">
        <v>304</v>
      </c>
      <c r="N70" s="118">
        <v>9542.8575700000001</v>
      </c>
      <c r="O70" s="111">
        <f t="shared" si="1"/>
        <v>238.57143925</v>
      </c>
    </row>
    <row r="71" spans="2:15">
      <c r="B71" s="117" t="s">
        <v>297</v>
      </c>
      <c r="C71" s="117" t="s">
        <v>298</v>
      </c>
      <c r="D71" s="117" t="s">
        <v>308</v>
      </c>
      <c r="E71" s="117" t="s">
        <v>309</v>
      </c>
      <c r="F71" s="117" t="s">
        <v>299</v>
      </c>
      <c r="G71" s="117" t="s">
        <v>300</v>
      </c>
      <c r="H71" s="117" t="s">
        <v>95</v>
      </c>
      <c r="I71" s="117" t="s">
        <v>306</v>
      </c>
      <c r="J71" s="117" t="s">
        <v>302</v>
      </c>
      <c r="K71" s="117" t="s">
        <v>307</v>
      </c>
      <c r="L71" s="117" t="s">
        <v>96</v>
      </c>
      <c r="M71" s="117" t="s">
        <v>304</v>
      </c>
      <c r="N71" s="118">
        <v>7565.9431999999997</v>
      </c>
      <c r="O71" s="111">
        <f t="shared" si="1"/>
        <v>189.14857999999998</v>
      </c>
    </row>
    <row r="72" spans="2:15">
      <c r="B72" s="117" t="s">
        <v>297</v>
      </c>
      <c r="C72" s="117" t="s">
        <v>298</v>
      </c>
      <c r="D72" s="117" t="s">
        <v>308</v>
      </c>
      <c r="E72" s="117" t="s">
        <v>309</v>
      </c>
      <c r="F72" s="117" t="s">
        <v>299</v>
      </c>
      <c r="G72" s="117" t="s">
        <v>300</v>
      </c>
      <c r="H72" s="117" t="s">
        <v>101</v>
      </c>
      <c r="I72" s="117" t="s">
        <v>306</v>
      </c>
      <c r="J72" s="117" t="s">
        <v>302</v>
      </c>
      <c r="K72" s="117" t="s">
        <v>307</v>
      </c>
      <c r="L72" s="117" t="s">
        <v>96</v>
      </c>
      <c r="M72" s="117" t="s">
        <v>304</v>
      </c>
      <c r="N72" s="118">
        <v>6215.34411</v>
      </c>
      <c r="O72" s="111">
        <f t="shared" si="1"/>
        <v>155.38360274999999</v>
      </c>
    </row>
    <row r="73" spans="2:15">
      <c r="B73" s="117" t="s">
        <v>297</v>
      </c>
      <c r="C73" s="117" t="s">
        <v>298</v>
      </c>
      <c r="D73" s="117" t="s">
        <v>308</v>
      </c>
      <c r="E73" s="117" t="s">
        <v>309</v>
      </c>
      <c r="F73" s="117" t="s">
        <v>299</v>
      </c>
      <c r="G73" s="117" t="s">
        <v>300</v>
      </c>
      <c r="H73" s="117" t="s">
        <v>106</v>
      </c>
      <c r="I73" s="117" t="s">
        <v>306</v>
      </c>
      <c r="J73" s="117" t="s">
        <v>302</v>
      </c>
      <c r="K73" s="117" t="s">
        <v>307</v>
      </c>
      <c r="L73" s="117" t="s">
        <v>96</v>
      </c>
      <c r="M73" s="117" t="s">
        <v>304</v>
      </c>
      <c r="N73" s="118">
        <v>5011.7412400000003</v>
      </c>
      <c r="O73" s="111">
        <f t="shared" si="1"/>
        <v>125.293531</v>
      </c>
    </row>
    <row r="74" spans="2:15">
      <c r="B74" s="117" t="s">
        <v>297</v>
      </c>
      <c r="C74" s="117" t="s">
        <v>298</v>
      </c>
      <c r="D74" s="117" t="s">
        <v>41</v>
      </c>
      <c r="E74" s="117" t="s">
        <v>110</v>
      </c>
      <c r="F74" s="117" t="s">
        <v>299</v>
      </c>
      <c r="G74" s="117" t="s">
        <v>305</v>
      </c>
      <c r="H74" s="117" t="s">
        <v>95</v>
      </c>
      <c r="I74" s="117" t="s">
        <v>301</v>
      </c>
      <c r="J74" s="117" t="s">
        <v>302</v>
      </c>
      <c r="K74" s="117" t="s">
        <v>303</v>
      </c>
      <c r="L74" s="117" t="s">
        <v>96</v>
      </c>
      <c r="M74" s="117" t="s">
        <v>304</v>
      </c>
      <c r="N74" s="118">
        <v>97.544489999999996</v>
      </c>
      <c r="O74" s="111">
        <f t="shared" si="1"/>
        <v>29.068258019999998</v>
      </c>
    </row>
    <row r="75" spans="2:15">
      <c r="B75" s="117" t="s">
        <v>297</v>
      </c>
      <c r="C75" s="117" t="s">
        <v>298</v>
      </c>
      <c r="D75" s="117" t="s">
        <v>308</v>
      </c>
      <c r="E75" s="117" t="s">
        <v>309</v>
      </c>
      <c r="F75" s="117" t="s">
        <v>299</v>
      </c>
      <c r="G75" s="117" t="s">
        <v>300</v>
      </c>
      <c r="H75" s="117" t="s">
        <v>106</v>
      </c>
      <c r="I75" s="117" t="s">
        <v>301</v>
      </c>
      <c r="J75" s="117" t="s">
        <v>302</v>
      </c>
      <c r="K75" s="117" t="s">
        <v>303</v>
      </c>
      <c r="L75" s="117" t="s">
        <v>96</v>
      </c>
      <c r="M75" s="117" t="s">
        <v>304</v>
      </c>
      <c r="N75" s="118">
        <v>9667.3010799999993</v>
      </c>
      <c r="O75" s="111">
        <f t="shared" si="1"/>
        <v>241.68252699999996</v>
      </c>
    </row>
    <row r="76" spans="2:15">
      <c r="B76" s="117" t="s">
        <v>297</v>
      </c>
      <c r="C76" s="117" t="s">
        <v>298</v>
      </c>
      <c r="D76" s="117" t="s">
        <v>41</v>
      </c>
      <c r="E76" s="117" t="s">
        <v>110</v>
      </c>
      <c r="F76" s="117" t="s">
        <v>299</v>
      </c>
      <c r="G76" s="117" t="s">
        <v>305</v>
      </c>
      <c r="H76" s="117" t="s">
        <v>95</v>
      </c>
      <c r="I76" s="117" t="s">
        <v>306</v>
      </c>
      <c r="J76" s="117" t="s">
        <v>302</v>
      </c>
      <c r="K76" s="117" t="s">
        <v>307</v>
      </c>
      <c r="L76" s="117" t="s">
        <v>96</v>
      </c>
      <c r="M76" s="117" t="s">
        <v>304</v>
      </c>
      <c r="N76" s="118">
        <v>2.7877900000000002</v>
      </c>
      <c r="O76" s="111">
        <f t="shared" si="1"/>
        <v>0.83076142000000008</v>
      </c>
    </row>
    <row r="77" spans="2:15">
      <c r="B77" s="117" t="s">
        <v>297</v>
      </c>
      <c r="C77" s="117" t="s">
        <v>298</v>
      </c>
      <c r="D77" s="117" t="s">
        <v>310</v>
      </c>
      <c r="E77" s="117" t="s">
        <v>311</v>
      </c>
      <c r="F77" s="117" t="s">
        <v>299</v>
      </c>
      <c r="G77" s="117" t="s">
        <v>300</v>
      </c>
      <c r="H77" s="117" t="s">
        <v>101</v>
      </c>
      <c r="I77" s="117" t="s">
        <v>306</v>
      </c>
      <c r="J77" s="117" t="s">
        <v>302</v>
      </c>
      <c r="K77" s="117" t="s">
        <v>307</v>
      </c>
      <c r="L77" s="117" t="s">
        <v>96</v>
      </c>
      <c r="M77" s="117" t="s">
        <v>304</v>
      </c>
      <c r="N77" s="118">
        <v>6234.84292</v>
      </c>
      <c r="O77" s="111">
        <f t="shared" si="1"/>
        <v>155.871073</v>
      </c>
    </row>
    <row r="78" spans="2:15">
      <c r="B78" s="117" t="s">
        <v>297</v>
      </c>
      <c r="C78" s="117" t="s">
        <v>298</v>
      </c>
      <c r="D78" s="117" t="s">
        <v>310</v>
      </c>
      <c r="E78" s="117" t="s">
        <v>311</v>
      </c>
      <c r="F78" s="117" t="s">
        <v>299</v>
      </c>
      <c r="G78" s="117" t="s">
        <v>300</v>
      </c>
      <c r="H78" s="117" t="s">
        <v>106</v>
      </c>
      <c r="I78" s="117" t="s">
        <v>306</v>
      </c>
      <c r="J78" s="117" t="s">
        <v>302</v>
      </c>
      <c r="K78" s="117" t="s">
        <v>307</v>
      </c>
      <c r="L78" s="117" t="s">
        <v>96</v>
      </c>
      <c r="M78" s="117" t="s">
        <v>304</v>
      </c>
      <c r="N78" s="118">
        <v>5028.1305199999997</v>
      </c>
      <c r="O78" s="111">
        <f t="shared" si="1"/>
        <v>125.70326299999999</v>
      </c>
    </row>
    <row r="79" spans="2:15">
      <c r="B79" s="117" t="s">
        <v>297</v>
      </c>
      <c r="C79" s="117" t="s">
        <v>298</v>
      </c>
      <c r="D79" s="117" t="s">
        <v>308</v>
      </c>
      <c r="E79" s="117" t="s">
        <v>309</v>
      </c>
      <c r="F79" s="117" t="s">
        <v>299</v>
      </c>
      <c r="G79" s="117" t="s">
        <v>305</v>
      </c>
      <c r="H79" s="117" t="s">
        <v>101</v>
      </c>
      <c r="I79" s="117" t="s">
        <v>306</v>
      </c>
      <c r="J79" s="117" t="s">
        <v>302</v>
      </c>
      <c r="K79" s="117" t="s">
        <v>307</v>
      </c>
      <c r="L79" s="117" t="s">
        <v>96</v>
      </c>
      <c r="M79" s="117" t="s">
        <v>304</v>
      </c>
      <c r="N79" s="118">
        <v>35.56718</v>
      </c>
      <c r="O79" s="111">
        <f t="shared" si="1"/>
        <v>10.59901964</v>
      </c>
    </row>
    <row r="80" spans="2:15">
      <c r="B80" s="117" t="s">
        <v>297</v>
      </c>
      <c r="C80" s="117" t="s">
        <v>298</v>
      </c>
      <c r="D80" s="117" t="s">
        <v>40</v>
      </c>
      <c r="E80" s="117" t="s">
        <v>109</v>
      </c>
      <c r="F80" s="117" t="s">
        <v>299</v>
      </c>
      <c r="G80" s="117" t="s">
        <v>300</v>
      </c>
      <c r="H80" s="117" t="s">
        <v>101</v>
      </c>
      <c r="I80" s="117" t="s">
        <v>306</v>
      </c>
      <c r="J80" s="117" t="s">
        <v>302</v>
      </c>
      <c r="K80" s="117" t="s">
        <v>307</v>
      </c>
      <c r="L80" s="117" t="s">
        <v>96</v>
      </c>
      <c r="M80" s="117" t="s">
        <v>304</v>
      </c>
      <c r="N80" s="118">
        <v>40.829270000000001</v>
      </c>
      <c r="O80" s="111">
        <f t="shared" si="1"/>
        <v>1.0207317499999999</v>
      </c>
    </row>
    <row r="81" spans="2:15">
      <c r="B81" s="117" t="s">
        <v>297</v>
      </c>
      <c r="C81" s="117" t="s">
        <v>298</v>
      </c>
      <c r="D81" s="117" t="s">
        <v>310</v>
      </c>
      <c r="E81" s="117" t="s">
        <v>311</v>
      </c>
      <c r="F81" s="117" t="s">
        <v>299</v>
      </c>
      <c r="G81" s="117" t="s">
        <v>300</v>
      </c>
      <c r="H81" s="117" t="s">
        <v>95</v>
      </c>
      <c r="I81" s="117" t="s">
        <v>301</v>
      </c>
      <c r="J81" s="117" t="s">
        <v>302</v>
      </c>
      <c r="K81" s="117" t="s">
        <v>303</v>
      </c>
      <c r="L81" s="117" t="s">
        <v>96</v>
      </c>
      <c r="M81" s="117" t="s">
        <v>304</v>
      </c>
      <c r="N81" s="118">
        <v>9881.1069599999992</v>
      </c>
      <c r="O81" s="111">
        <f t="shared" si="1"/>
        <v>247.02767399999996</v>
      </c>
    </row>
    <row r="82" spans="2:15">
      <c r="B82" s="117" t="s">
        <v>297</v>
      </c>
      <c r="C82" s="117" t="s">
        <v>298</v>
      </c>
      <c r="D82" s="117" t="s">
        <v>310</v>
      </c>
      <c r="E82" s="117" t="s">
        <v>311</v>
      </c>
      <c r="F82" s="117" t="s">
        <v>299</v>
      </c>
      <c r="G82" s="117" t="s">
        <v>300</v>
      </c>
      <c r="H82" s="117" t="s">
        <v>106</v>
      </c>
      <c r="I82" s="117" t="s">
        <v>301</v>
      </c>
      <c r="J82" s="117" t="s">
        <v>302</v>
      </c>
      <c r="K82" s="117" t="s">
        <v>303</v>
      </c>
      <c r="L82" s="117" t="s">
        <v>96</v>
      </c>
      <c r="M82" s="117" t="s">
        <v>304</v>
      </c>
      <c r="N82" s="118">
        <v>9689.2118599999994</v>
      </c>
      <c r="O82" s="111">
        <f t="shared" si="1"/>
        <v>242.23029650000001</v>
      </c>
    </row>
    <row r="83" spans="2:15">
      <c r="B83" s="117" t="s">
        <v>297</v>
      </c>
      <c r="C83" s="117" t="s">
        <v>298</v>
      </c>
      <c r="D83" s="117" t="s">
        <v>35</v>
      </c>
      <c r="E83" s="117" t="s">
        <v>114</v>
      </c>
      <c r="F83" s="117" t="s">
        <v>299</v>
      </c>
      <c r="G83" s="117" t="s">
        <v>300</v>
      </c>
      <c r="H83" s="117" t="s">
        <v>101</v>
      </c>
      <c r="I83" s="117" t="s">
        <v>301</v>
      </c>
      <c r="J83" s="117" t="s">
        <v>302</v>
      </c>
      <c r="K83" s="117" t="s">
        <v>303</v>
      </c>
      <c r="L83" s="117" t="s">
        <v>96</v>
      </c>
      <c r="M83" s="117" t="s">
        <v>304</v>
      </c>
      <c r="N83" s="118">
        <v>1634.8447000000001</v>
      </c>
      <c r="O83" s="111">
        <f t="shared" si="1"/>
        <v>40.871117499999997</v>
      </c>
    </row>
    <row r="84" spans="2:15">
      <c r="B84" s="117" t="s">
        <v>297</v>
      </c>
      <c r="C84" s="117" t="s">
        <v>298</v>
      </c>
      <c r="D84" s="117" t="s">
        <v>35</v>
      </c>
      <c r="E84" s="117" t="s">
        <v>114</v>
      </c>
      <c r="F84" s="117" t="s">
        <v>299</v>
      </c>
      <c r="G84" s="117" t="s">
        <v>300</v>
      </c>
      <c r="H84" s="117" t="s">
        <v>106</v>
      </c>
      <c r="I84" s="117" t="s">
        <v>306</v>
      </c>
      <c r="J84" s="117" t="s">
        <v>302</v>
      </c>
      <c r="K84" s="117" t="s">
        <v>307</v>
      </c>
      <c r="L84" s="117" t="s">
        <v>96</v>
      </c>
      <c r="M84" s="117" t="s">
        <v>304</v>
      </c>
      <c r="N84" s="118">
        <v>600.61901</v>
      </c>
      <c r="O84" s="111">
        <f t="shared" si="1"/>
        <v>15.01547525</v>
      </c>
    </row>
    <row r="85" spans="2:15">
      <c r="B85" s="117" t="s">
        <v>297</v>
      </c>
      <c r="C85" s="117" t="s">
        <v>298</v>
      </c>
      <c r="D85" s="117" t="s">
        <v>40</v>
      </c>
      <c r="E85" s="117" t="s">
        <v>109</v>
      </c>
      <c r="F85" s="117" t="s">
        <v>299</v>
      </c>
      <c r="G85" s="117" t="s">
        <v>305</v>
      </c>
      <c r="H85" s="117" t="s">
        <v>95</v>
      </c>
      <c r="I85" s="117" t="s">
        <v>306</v>
      </c>
      <c r="J85" s="117" t="s">
        <v>302</v>
      </c>
      <c r="K85" s="117" t="s">
        <v>307</v>
      </c>
      <c r="L85" s="117" t="s">
        <v>96</v>
      </c>
      <c r="M85" s="117" t="s">
        <v>304</v>
      </c>
      <c r="N85" s="118">
        <v>0.41461999999999999</v>
      </c>
      <c r="O85" s="111">
        <f t="shared" si="1"/>
        <v>0.12355676</v>
      </c>
    </row>
    <row r="86" spans="2:15">
      <c r="B86" s="117" t="s">
        <v>297</v>
      </c>
      <c r="C86" s="117" t="s">
        <v>298</v>
      </c>
      <c r="D86" s="117" t="s">
        <v>40</v>
      </c>
      <c r="E86" s="117" t="s">
        <v>109</v>
      </c>
      <c r="F86" s="117" t="s">
        <v>299</v>
      </c>
      <c r="G86" s="117" t="s">
        <v>305</v>
      </c>
      <c r="H86" s="117" t="s">
        <v>101</v>
      </c>
      <c r="I86" s="117" t="s">
        <v>306</v>
      </c>
      <c r="J86" s="117" t="s">
        <v>302</v>
      </c>
      <c r="K86" s="117" t="s">
        <v>307</v>
      </c>
      <c r="L86" s="117" t="s">
        <v>96</v>
      </c>
      <c r="M86" s="117" t="s">
        <v>304</v>
      </c>
      <c r="N86" s="118">
        <v>0.50680000000000003</v>
      </c>
      <c r="O86" s="111">
        <f t="shared" si="1"/>
        <v>0.15102640000000001</v>
      </c>
    </row>
    <row r="87" spans="2:15">
      <c r="B87" s="117" t="s">
        <v>297</v>
      </c>
      <c r="C87" s="117" t="s">
        <v>298</v>
      </c>
      <c r="D87" s="117" t="s">
        <v>36</v>
      </c>
      <c r="E87" s="117" t="s">
        <v>121</v>
      </c>
      <c r="F87" s="117" t="s">
        <v>299</v>
      </c>
      <c r="G87" s="117" t="s">
        <v>300</v>
      </c>
      <c r="H87" s="117" t="s">
        <v>101</v>
      </c>
      <c r="I87" s="117" t="s">
        <v>301</v>
      </c>
      <c r="J87" s="117" t="s">
        <v>302</v>
      </c>
      <c r="K87" s="117" t="s">
        <v>303</v>
      </c>
      <c r="L87" s="117" t="s">
        <v>96</v>
      </c>
      <c r="M87" s="117" t="s">
        <v>304</v>
      </c>
      <c r="N87" s="118">
        <v>102.747</v>
      </c>
      <c r="O87" s="111">
        <f t="shared" si="1"/>
        <v>2.5686750000000003</v>
      </c>
    </row>
    <row r="88" spans="2:15">
      <c r="B88" s="117" t="s">
        <v>297</v>
      </c>
      <c r="C88" s="117" t="s">
        <v>298</v>
      </c>
      <c r="D88" s="117" t="s">
        <v>48</v>
      </c>
      <c r="E88" s="117" t="s">
        <v>120</v>
      </c>
      <c r="F88" s="117" t="s">
        <v>299</v>
      </c>
      <c r="G88" s="117" t="s">
        <v>300</v>
      </c>
      <c r="H88" s="117" t="s">
        <v>101</v>
      </c>
      <c r="I88" s="117" t="s">
        <v>301</v>
      </c>
      <c r="J88" s="117" t="s">
        <v>302</v>
      </c>
      <c r="K88" s="117" t="s">
        <v>303</v>
      </c>
      <c r="L88" s="117" t="s">
        <v>96</v>
      </c>
      <c r="M88" s="117" t="s">
        <v>304</v>
      </c>
      <c r="N88" s="118">
        <v>185.78525999999999</v>
      </c>
      <c r="O88" s="111">
        <f t="shared" si="1"/>
        <v>4.6446314999999991</v>
      </c>
    </row>
    <row r="89" spans="2:15">
      <c r="B89" s="117" t="s">
        <v>297</v>
      </c>
      <c r="C89" s="117" t="s">
        <v>298</v>
      </c>
      <c r="D89" s="117" t="s">
        <v>36</v>
      </c>
      <c r="E89" s="117" t="s">
        <v>121</v>
      </c>
      <c r="F89" s="117" t="s">
        <v>299</v>
      </c>
      <c r="G89" s="117" t="s">
        <v>305</v>
      </c>
      <c r="H89" s="117" t="s">
        <v>106</v>
      </c>
      <c r="I89" s="117" t="s">
        <v>301</v>
      </c>
      <c r="J89" s="117" t="s">
        <v>302</v>
      </c>
      <c r="K89" s="117" t="s">
        <v>303</v>
      </c>
      <c r="L89" s="117" t="s">
        <v>96</v>
      </c>
      <c r="M89" s="117" t="s">
        <v>304</v>
      </c>
      <c r="N89" s="118">
        <v>12.468310000000001</v>
      </c>
      <c r="O89" s="111">
        <f t="shared" si="1"/>
        <v>3.7155563799999998</v>
      </c>
    </row>
    <row r="90" spans="2:15">
      <c r="B90" s="117" t="s">
        <v>297</v>
      </c>
      <c r="C90" s="117" t="s">
        <v>298</v>
      </c>
      <c r="D90" s="117" t="s">
        <v>36</v>
      </c>
      <c r="E90" s="117" t="s">
        <v>121</v>
      </c>
      <c r="F90" s="117" t="s">
        <v>299</v>
      </c>
      <c r="G90" s="117" t="s">
        <v>305</v>
      </c>
      <c r="H90" s="117" t="s">
        <v>101</v>
      </c>
      <c r="I90" s="117" t="s">
        <v>306</v>
      </c>
      <c r="J90" s="117" t="s">
        <v>302</v>
      </c>
      <c r="K90" s="117" t="s">
        <v>307</v>
      </c>
      <c r="L90" s="117" t="s">
        <v>96</v>
      </c>
      <c r="M90" s="117" t="s">
        <v>304</v>
      </c>
      <c r="N90" s="118">
        <v>0.42970000000000003</v>
      </c>
      <c r="O90" s="111">
        <f t="shared" si="1"/>
        <v>0.12805060000000001</v>
      </c>
    </row>
    <row r="91" spans="2:15">
      <c r="B91" s="117" t="s">
        <v>297</v>
      </c>
      <c r="C91" s="117" t="s">
        <v>298</v>
      </c>
      <c r="D91" s="117" t="s">
        <v>36</v>
      </c>
      <c r="E91" s="117" t="s">
        <v>121</v>
      </c>
      <c r="F91" s="117" t="s">
        <v>299</v>
      </c>
      <c r="G91" s="117" t="s">
        <v>305</v>
      </c>
      <c r="H91" s="117" t="s">
        <v>106</v>
      </c>
      <c r="I91" s="117" t="s">
        <v>306</v>
      </c>
      <c r="J91" s="117" t="s">
        <v>302</v>
      </c>
      <c r="K91" s="117" t="s">
        <v>307</v>
      </c>
      <c r="L91" s="117" t="s">
        <v>96</v>
      </c>
      <c r="M91" s="117" t="s">
        <v>304</v>
      </c>
      <c r="N91" s="118">
        <v>0.42014000000000001</v>
      </c>
      <c r="O91" s="111">
        <f t="shared" si="1"/>
        <v>0.12520172000000002</v>
      </c>
    </row>
    <row r="92" spans="2:15">
      <c r="B92" s="117" t="s">
        <v>297</v>
      </c>
      <c r="C92" s="117" t="s">
        <v>298</v>
      </c>
      <c r="D92" s="117" t="s">
        <v>36</v>
      </c>
      <c r="E92" s="117" t="s">
        <v>121</v>
      </c>
      <c r="F92" s="117" t="s">
        <v>299</v>
      </c>
      <c r="G92" s="117" t="s">
        <v>305</v>
      </c>
      <c r="H92" s="117" t="s">
        <v>95</v>
      </c>
      <c r="I92" s="117" t="s">
        <v>301</v>
      </c>
      <c r="J92" s="117" t="s">
        <v>302</v>
      </c>
      <c r="K92" s="117" t="s">
        <v>303</v>
      </c>
      <c r="L92" s="117" t="s">
        <v>96</v>
      </c>
      <c r="M92" s="117" t="s">
        <v>304</v>
      </c>
      <c r="N92" s="118">
        <v>12.176690000000001</v>
      </c>
      <c r="O92" s="111">
        <f t="shared" si="1"/>
        <v>3.6286536200000001</v>
      </c>
    </row>
    <row r="93" spans="2:15">
      <c r="B93" s="117" t="s">
        <v>297</v>
      </c>
      <c r="C93" s="117" t="s">
        <v>298</v>
      </c>
      <c r="D93" s="117" t="s">
        <v>39</v>
      </c>
      <c r="E93" s="117" t="s">
        <v>64</v>
      </c>
      <c r="F93" s="117" t="s">
        <v>299</v>
      </c>
      <c r="G93" s="117" t="s">
        <v>300</v>
      </c>
      <c r="H93" s="117" t="s">
        <v>106</v>
      </c>
      <c r="I93" s="117" t="s">
        <v>306</v>
      </c>
      <c r="J93" s="117" t="s">
        <v>302</v>
      </c>
      <c r="K93" s="117" t="s">
        <v>307</v>
      </c>
      <c r="L93" s="117" t="s">
        <v>96</v>
      </c>
      <c r="M93" s="117" t="s">
        <v>304</v>
      </c>
      <c r="N93" s="118">
        <v>11.32638</v>
      </c>
      <c r="O93" s="111">
        <f t="shared" si="1"/>
        <v>0.28315949999999995</v>
      </c>
    </row>
    <row r="94" spans="2:15">
      <c r="B94" s="117" t="s">
        <v>297</v>
      </c>
      <c r="C94" s="117" t="s">
        <v>298</v>
      </c>
      <c r="D94" s="117" t="s">
        <v>35</v>
      </c>
      <c r="E94" s="117" t="s">
        <v>114</v>
      </c>
      <c r="F94" s="117" t="s">
        <v>299</v>
      </c>
      <c r="G94" s="117" t="s">
        <v>300</v>
      </c>
      <c r="H94" s="117" t="s">
        <v>95</v>
      </c>
      <c r="I94" s="117" t="s">
        <v>306</v>
      </c>
      <c r="J94" s="117" t="s">
        <v>302</v>
      </c>
      <c r="K94" s="117" t="s">
        <v>307</v>
      </c>
      <c r="L94" s="117" t="s">
        <v>96</v>
      </c>
      <c r="M94" s="117" t="s">
        <v>304</v>
      </c>
      <c r="N94" s="118">
        <v>769.74653999999998</v>
      </c>
      <c r="O94" s="111">
        <f t="shared" si="1"/>
        <v>19.2436635</v>
      </c>
    </row>
    <row r="95" spans="2:15">
      <c r="B95" s="117" t="s">
        <v>297</v>
      </c>
      <c r="C95" s="117" t="s">
        <v>298</v>
      </c>
      <c r="D95" s="117" t="s">
        <v>312</v>
      </c>
      <c r="E95" s="117" t="s">
        <v>112</v>
      </c>
      <c r="F95" s="117" t="s">
        <v>299</v>
      </c>
      <c r="G95" s="117" t="s">
        <v>300</v>
      </c>
      <c r="H95" s="117" t="s">
        <v>95</v>
      </c>
      <c r="I95" s="117" t="s">
        <v>301</v>
      </c>
      <c r="J95" s="117" t="s">
        <v>302</v>
      </c>
      <c r="K95" s="117" t="s">
        <v>303</v>
      </c>
      <c r="L95" s="117" t="s">
        <v>96</v>
      </c>
      <c r="M95" s="117" t="s">
        <v>304</v>
      </c>
      <c r="N95" s="118">
        <v>198.61326</v>
      </c>
      <c r="O95" s="111">
        <f t="shared" si="1"/>
        <v>4.9653315000000005</v>
      </c>
    </row>
    <row r="96" spans="2:15">
      <c r="B96" s="117" t="s">
        <v>297</v>
      </c>
      <c r="C96" s="117" t="s">
        <v>298</v>
      </c>
      <c r="D96" s="117" t="s">
        <v>35</v>
      </c>
      <c r="E96" s="117" t="s">
        <v>114</v>
      </c>
      <c r="F96" s="117" t="s">
        <v>299</v>
      </c>
      <c r="G96" s="117" t="s">
        <v>300</v>
      </c>
      <c r="H96" s="117" t="s">
        <v>101</v>
      </c>
      <c r="I96" s="117" t="s">
        <v>306</v>
      </c>
      <c r="J96" s="117" t="s">
        <v>302</v>
      </c>
      <c r="K96" s="117" t="s">
        <v>307</v>
      </c>
      <c r="L96" s="117" t="s">
        <v>96</v>
      </c>
      <c r="M96" s="117" t="s">
        <v>304</v>
      </c>
      <c r="N96" s="118">
        <v>718.19745</v>
      </c>
      <c r="O96" s="111">
        <f t="shared" ref="O96:O159" si="2">IF(G96="CH4",N96*25,N96*298)/1000</f>
        <v>17.954936249999999</v>
      </c>
    </row>
    <row r="97" spans="2:15">
      <c r="B97" s="117" t="s">
        <v>297</v>
      </c>
      <c r="C97" s="117" t="s">
        <v>298</v>
      </c>
      <c r="D97" s="117" t="s">
        <v>312</v>
      </c>
      <c r="E97" s="117" t="s">
        <v>112</v>
      </c>
      <c r="F97" s="117" t="s">
        <v>299</v>
      </c>
      <c r="G97" s="117" t="s">
        <v>300</v>
      </c>
      <c r="H97" s="117" t="s">
        <v>101</v>
      </c>
      <c r="I97" s="117" t="s">
        <v>306</v>
      </c>
      <c r="J97" s="117" t="s">
        <v>302</v>
      </c>
      <c r="K97" s="117" t="s">
        <v>307</v>
      </c>
      <c r="L97" s="117" t="s">
        <v>96</v>
      </c>
      <c r="M97" s="117" t="s">
        <v>304</v>
      </c>
      <c r="N97" s="118">
        <v>176.45999</v>
      </c>
      <c r="O97" s="111">
        <f t="shared" si="2"/>
        <v>4.4114997499999999</v>
      </c>
    </row>
    <row r="98" spans="2:15">
      <c r="B98" s="117" t="s">
        <v>297</v>
      </c>
      <c r="C98" s="117" t="s">
        <v>298</v>
      </c>
      <c r="D98" s="117" t="s">
        <v>312</v>
      </c>
      <c r="E98" s="117" t="s">
        <v>112</v>
      </c>
      <c r="F98" s="117" t="s">
        <v>299</v>
      </c>
      <c r="G98" s="117" t="s">
        <v>305</v>
      </c>
      <c r="H98" s="117" t="s">
        <v>106</v>
      </c>
      <c r="I98" s="117" t="s">
        <v>301</v>
      </c>
      <c r="J98" s="117" t="s">
        <v>302</v>
      </c>
      <c r="K98" s="117" t="s">
        <v>303</v>
      </c>
      <c r="L98" s="117" t="s">
        <v>96</v>
      </c>
      <c r="M98" s="117" t="s">
        <v>304</v>
      </c>
      <c r="N98" s="118">
        <v>11.842409999999999</v>
      </c>
      <c r="O98" s="111">
        <f t="shared" si="2"/>
        <v>3.5290381799999997</v>
      </c>
    </row>
    <row r="99" spans="2:15">
      <c r="B99" s="117" t="s">
        <v>297</v>
      </c>
      <c r="C99" s="117" t="s">
        <v>298</v>
      </c>
      <c r="D99" s="117" t="s">
        <v>34</v>
      </c>
      <c r="E99" s="117" t="s">
        <v>62</v>
      </c>
      <c r="F99" s="117" t="s">
        <v>299</v>
      </c>
      <c r="G99" s="117" t="s">
        <v>300</v>
      </c>
      <c r="H99" s="117" t="s">
        <v>101</v>
      </c>
      <c r="I99" s="117" t="s">
        <v>301</v>
      </c>
      <c r="J99" s="117" t="s">
        <v>302</v>
      </c>
      <c r="K99" s="117" t="s">
        <v>303</v>
      </c>
      <c r="L99" s="117" t="s">
        <v>96</v>
      </c>
      <c r="M99" s="117" t="s">
        <v>304</v>
      </c>
      <c r="N99" s="118">
        <v>56.89526</v>
      </c>
      <c r="O99" s="111">
        <f t="shared" si="2"/>
        <v>1.4223815</v>
      </c>
    </row>
    <row r="100" spans="2:15">
      <c r="B100" s="117" t="s">
        <v>297</v>
      </c>
      <c r="C100" s="117" t="s">
        <v>298</v>
      </c>
      <c r="D100" s="117" t="s">
        <v>35</v>
      </c>
      <c r="E100" s="117" t="s">
        <v>114</v>
      </c>
      <c r="F100" s="117" t="s">
        <v>299</v>
      </c>
      <c r="G100" s="117" t="s">
        <v>305</v>
      </c>
      <c r="H100" s="117" t="s">
        <v>101</v>
      </c>
      <c r="I100" s="117" t="s">
        <v>306</v>
      </c>
      <c r="J100" s="117" t="s">
        <v>302</v>
      </c>
      <c r="K100" s="117" t="s">
        <v>307</v>
      </c>
      <c r="L100" s="117" t="s">
        <v>96</v>
      </c>
      <c r="M100" s="117" t="s">
        <v>304</v>
      </c>
      <c r="N100" s="118">
        <v>2.7747199999999999</v>
      </c>
      <c r="O100" s="111">
        <f t="shared" si="2"/>
        <v>0.82686655999999992</v>
      </c>
    </row>
    <row r="101" spans="2:15">
      <c r="B101" s="117" t="s">
        <v>297</v>
      </c>
      <c r="C101" s="117" t="s">
        <v>298</v>
      </c>
      <c r="D101" s="117" t="s">
        <v>34</v>
      </c>
      <c r="E101" s="117" t="s">
        <v>62</v>
      </c>
      <c r="F101" s="117" t="s">
        <v>299</v>
      </c>
      <c r="G101" s="117" t="s">
        <v>300</v>
      </c>
      <c r="H101" s="117" t="s">
        <v>106</v>
      </c>
      <c r="I101" s="117" t="s">
        <v>306</v>
      </c>
      <c r="J101" s="117" t="s">
        <v>302</v>
      </c>
      <c r="K101" s="117" t="s">
        <v>307</v>
      </c>
      <c r="L101" s="117" t="s">
        <v>96</v>
      </c>
      <c r="M101" s="117" t="s">
        <v>304</v>
      </c>
      <c r="N101" s="118">
        <v>58.663319999999999</v>
      </c>
      <c r="O101" s="111">
        <f t="shared" si="2"/>
        <v>1.4665830000000002</v>
      </c>
    </row>
    <row r="102" spans="2:15">
      <c r="B102" s="117" t="s">
        <v>297</v>
      </c>
      <c r="C102" s="117" t="s">
        <v>298</v>
      </c>
      <c r="D102" s="117" t="s">
        <v>312</v>
      </c>
      <c r="E102" s="117" t="s">
        <v>112</v>
      </c>
      <c r="F102" s="117" t="s">
        <v>299</v>
      </c>
      <c r="G102" s="117" t="s">
        <v>305</v>
      </c>
      <c r="H102" s="117" t="s">
        <v>95</v>
      </c>
      <c r="I102" s="117" t="s">
        <v>301</v>
      </c>
      <c r="J102" s="117" t="s">
        <v>302</v>
      </c>
      <c r="K102" s="117" t="s">
        <v>303</v>
      </c>
      <c r="L102" s="117" t="s">
        <v>96</v>
      </c>
      <c r="M102" s="117" t="s">
        <v>304</v>
      </c>
      <c r="N102" s="118">
        <v>13.218680000000001</v>
      </c>
      <c r="O102" s="111">
        <f t="shared" si="2"/>
        <v>3.9391666400000003</v>
      </c>
    </row>
    <row r="103" spans="2:15">
      <c r="B103" s="117" t="s">
        <v>297</v>
      </c>
      <c r="C103" s="117" t="s">
        <v>298</v>
      </c>
      <c r="D103" s="117" t="s">
        <v>34</v>
      </c>
      <c r="E103" s="117" t="s">
        <v>62</v>
      </c>
      <c r="F103" s="117" t="s">
        <v>299</v>
      </c>
      <c r="G103" s="117" t="s">
        <v>305</v>
      </c>
      <c r="H103" s="117" t="s">
        <v>95</v>
      </c>
      <c r="I103" s="117" t="s">
        <v>301</v>
      </c>
      <c r="J103" s="117" t="s">
        <v>302</v>
      </c>
      <c r="K103" s="117" t="s">
        <v>303</v>
      </c>
      <c r="L103" s="117" t="s">
        <v>96</v>
      </c>
      <c r="M103" s="117" t="s">
        <v>304</v>
      </c>
      <c r="N103" s="118">
        <v>4.7621700000000002</v>
      </c>
      <c r="O103" s="111">
        <f t="shared" si="2"/>
        <v>1.4191266600000001</v>
      </c>
    </row>
    <row r="104" spans="2:15">
      <c r="B104" s="117" t="s">
        <v>297</v>
      </c>
      <c r="C104" s="117" t="s">
        <v>298</v>
      </c>
      <c r="D104" s="117" t="s">
        <v>39</v>
      </c>
      <c r="E104" s="117" t="s">
        <v>64</v>
      </c>
      <c r="F104" s="117" t="s">
        <v>299</v>
      </c>
      <c r="G104" s="117" t="s">
        <v>305</v>
      </c>
      <c r="H104" s="117" t="s">
        <v>106</v>
      </c>
      <c r="I104" s="117" t="s">
        <v>301</v>
      </c>
      <c r="J104" s="117" t="s">
        <v>302</v>
      </c>
      <c r="K104" s="117" t="s">
        <v>303</v>
      </c>
      <c r="L104" s="117" t="s">
        <v>96</v>
      </c>
      <c r="M104" s="117" t="s">
        <v>304</v>
      </c>
      <c r="N104" s="118">
        <v>2.3754400000000002</v>
      </c>
      <c r="O104" s="111">
        <f t="shared" si="2"/>
        <v>0.70788112000000003</v>
      </c>
    </row>
    <row r="105" spans="2:15">
      <c r="B105" s="117" t="s">
        <v>297</v>
      </c>
      <c r="C105" s="117" t="s">
        <v>298</v>
      </c>
      <c r="D105" s="117" t="s">
        <v>39</v>
      </c>
      <c r="E105" s="117" t="s">
        <v>64</v>
      </c>
      <c r="F105" s="117" t="s">
        <v>299</v>
      </c>
      <c r="G105" s="117" t="s">
        <v>305</v>
      </c>
      <c r="H105" s="117" t="s">
        <v>101</v>
      </c>
      <c r="I105" s="117" t="s">
        <v>306</v>
      </c>
      <c r="J105" s="117" t="s">
        <v>302</v>
      </c>
      <c r="K105" s="117" t="s">
        <v>307</v>
      </c>
      <c r="L105" s="117" t="s">
        <v>96</v>
      </c>
      <c r="M105" s="117" t="s">
        <v>304</v>
      </c>
      <c r="N105" s="118">
        <v>0.15129000000000001</v>
      </c>
      <c r="O105" s="111">
        <f t="shared" si="2"/>
        <v>4.508442E-2</v>
      </c>
    </row>
    <row r="106" spans="2:15">
      <c r="B106" s="117" t="s">
        <v>297</v>
      </c>
      <c r="C106" s="117" t="s">
        <v>298</v>
      </c>
      <c r="D106" s="117" t="s">
        <v>34</v>
      </c>
      <c r="E106" s="117" t="s">
        <v>62</v>
      </c>
      <c r="F106" s="117" t="s">
        <v>299</v>
      </c>
      <c r="G106" s="117" t="s">
        <v>305</v>
      </c>
      <c r="H106" s="117" t="s">
        <v>106</v>
      </c>
      <c r="I106" s="117" t="s">
        <v>301</v>
      </c>
      <c r="J106" s="117" t="s">
        <v>302</v>
      </c>
      <c r="K106" s="117" t="s">
        <v>303</v>
      </c>
      <c r="L106" s="117" t="s">
        <v>96</v>
      </c>
      <c r="M106" s="117" t="s">
        <v>304</v>
      </c>
      <c r="N106" s="118">
        <v>3.7488800000000002</v>
      </c>
      <c r="O106" s="111">
        <f t="shared" si="2"/>
        <v>1.11716624</v>
      </c>
    </row>
    <row r="107" spans="2:15">
      <c r="B107" s="117" t="s">
        <v>297</v>
      </c>
      <c r="C107" s="117" t="s">
        <v>298</v>
      </c>
      <c r="D107" s="117" t="s">
        <v>34</v>
      </c>
      <c r="E107" s="117" t="s">
        <v>62</v>
      </c>
      <c r="F107" s="117" t="s">
        <v>299</v>
      </c>
      <c r="G107" s="117" t="s">
        <v>305</v>
      </c>
      <c r="H107" s="117" t="s">
        <v>101</v>
      </c>
      <c r="I107" s="117" t="s">
        <v>306</v>
      </c>
      <c r="J107" s="117" t="s">
        <v>302</v>
      </c>
      <c r="K107" s="117" t="s">
        <v>307</v>
      </c>
      <c r="L107" s="117" t="s">
        <v>96</v>
      </c>
      <c r="M107" s="117" t="s">
        <v>304</v>
      </c>
      <c r="N107" s="118">
        <v>0.28100999999999998</v>
      </c>
      <c r="O107" s="111">
        <f t="shared" si="2"/>
        <v>8.3740979999999993E-2</v>
      </c>
    </row>
    <row r="108" spans="2:15">
      <c r="B108" s="117" t="s">
        <v>297</v>
      </c>
      <c r="C108" s="117" t="s">
        <v>298</v>
      </c>
      <c r="D108" s="117" t="s">
        <v>37</v>
      </c>
      <c r="E108" s="117" t="s">
        <v>113</v>
      </c>
      <c r="F108" s="117" t="s">
        <v>299</v>
      </c>
      <c r="G108" s="117" t="s">
        <v>300</v>
      </c>
      <c r="H108" s="117" t="s">
        <v>101</v>
      </c>
      <c r="I108" s="117" t="s">
        <v>306</v>
      </c>
      <c r="J108" s="117" t="s">
        <v>302</v>
      </c>
      <c r="K108" s="117" t="s">
        <v>307</v>
      </c>
      <c r="L108" s="117" t="s">
        <v>96</v>
      </c>
      <c r="M108" s="117" t="s">
        <v>304</v>
      </c>
      <c r="N108" s="118">
        <v>512.72572000000002</v>
      </c>
      <c r="O108" s="111">
        <f t="shared" si="2"/>
        <v>12.818142999999999</v>
      </c>
    </row>
    <row r="109" spans="2:15">
      <c r="B109" s="117" t="s">
        <v>297</v>
      </c>
      <c r="C109" s="117" t="s">
        <v>298</v>
      </c>
      <c r="D109" s="117" t="s">
        <v>32</v>
      </c>
      <c r="E109" s="117" t="s">
        <v>111</v>
      </c>
      <c r="F109" s="117" t="s">
        <v>299</v>
      </c>
      <c r="G109" s="117" t="s">
        <v>300</v>
      </c>
      <c r="H109" s="117" t="s">
        <v>95</v>
      </c>
      <c r="I109" s="117" t="s">
        <v>301</v>
      </c>
      <c r="J109" s="117" t="s">
        <v>302</v>
      </c>
      <c r="K109" s="117" t="s">
        <v>303</v>
      </c>
      <c r="L109" s="117" t="s">
        <v>96</v>
      </c>
      <c r="M109" s="117" t="s">
        <v>304</v>
      </c>
      <c r="N109" s="118">
        <v>484.27037999999999</v>
      </c>
      <c r="O109" s="111">
        <f t="shared" si="2"/>
        <v>12.106759500000001</v>
      </c>
    </row>
    <row r="110" spans="2:15">
      <c r="B110" s="117" t="s">
        <v>297</v>
      </c>
      <c r="C110" s="117" t="s">
        <v>298</v>
      </c>
      <c r="D110" s="117" t="s">
        <v>33</v>
      </c>
      <c r="E110" s="117" t="s">
        <v>65</v>
      </c>
      <c r="F110" s="117" t="s">
        <v>299</v>
      </c>
      <c r="G110" s="117" t="s">
        <v>300</v>
      </c>
      <c r="H110" s="117" t="s">
        <v>95</v>
      </c>
      <c r="I110" s="117" t="s">
        <v>306</v>
      </c>
      <c r="J110" s="117" t="s">
        <v>302</v>
      </c>
      <c r="K110" s="117" t="s">
        <v>307</v>
      </c>
      <c r="L110" s="117" t="s">
        <v>96</v>
      </c>
      <c r="M110" s="117" t="s">
        <v>304</v>
      </c>
      <c r="N110" s="118">
        <v>166.98693</v>
      </c>
      <c r="O110" s="111">
        <f t="shared" si="2"/>
        <v>4.1746732499999997</v>
      </c>
    </row>
    <row r="111" spans="2:15">
      <c r="B111" s="117" t="s">
        <v>297</v>
      </c>
      <c r="C111" s="117" t="s">
        <v>298</v>
      </c>
      <c r="D111" s="117" t="s">
        <v>33</v>
      </c>
      <c r="E111" s="117" t="s">
        <v>65</v>
      </c>
      <c r="F111" s="117" t="s">
        <v>299</v>
      </c>
      <c r="G111" s="117" t="s">
        <v>300</v>
      </c>
      <c r="H111" s="117" t="s">
        <v>106</v>
      </c>
      <c r="I111" s="117" t="s">
        <v>306</v>
      </c>
      <c r="J111" s="117" t="s">
        <v>302</v>
      </c>
      <c r="K111" s="117" t="s">
        <v>307</v>
      </c>
      <c r="L111" s="117" t="s">
        <v>96</v>
      </c>
      <c r="M111" s="117" t="s">
        <v>304</v>
      </c>
      <c r="N111" s="118">
        <v>141.24153000000001</v>
      </c>
      <c r="O111" s="111">
        <f t="shared" si="2"/>
        <v>3.5310382500000004</v>
      </c>
    </row>
    <row r="112" spans="2:15">
      <c r="B112" s="117" t="s">
        <v>297</v>
      </c>
      <c r="C112" s="117" t="s">
        <v>298</v>
      </c>
      <c r="D112" s="117" t="s">
        <v>48</v>
      </c>
      <c r="E112" s="117" t="s">
        <v>120</v>
      </c>
      <c r="F112" s="117" t="s">
        <v>299</v>
      </c>
      <c r="G112" s="117" t="s">
        <v>300</v>
      </c>
      <c r="H112" s="117" t="s">
        <v>95</v>
      </c>
      <c r="I112" s="117" t="s">
        <v>306</v>
      </c>
      <c r="J112" s="117" t="s">
        <v>302</v>
      </c>
      <c r="K112" s="117" t="s">
        <v>307</v>
      </c>
      <c r="L112" s="117" t="s">
        <v>96</v>
      </c>
      <c r="M112" s="117" t="s">
        <v>304</v>
      </c>
      <c r="N112" s="118">
        <v>101.63157</v>
      </c>
      <c r="O112" s="111">
        <f t="shared" si="2"/>
        <v>2.54078925</v>
      </c>
    </row>
    <row r="113" spans="2:15">
      <c r="B113" s="117" t="s">
        <v>297</v>
      </c>
      <c r="C113" s="117" t="s">
        <v>298</v>
      </c>
      <c r="D113" s="117" t="s">
        <v>32</v>
      </c>
      <c r="E113" s="117" t="s">
        <v>111</v>
      </c>
      <c r="F113" s="117" t="s">
        <v>299</v>
      </c>
      <c r="G113" s="117" t="s">
        <v>300</v>
      </c>
      <c r="H113" s="117" t="s">
        <v>106</v>
      </c>
      <c r="I113" s="117" t="s">
        <v>306</v>
      </c>
      <c r="J113" s="117" t="s">
        <v>302</v>
      </c>
      <c r="K113" s="117" t="s">
        <v>307</v>
      </c>
      <c r="L113" s="117" t="s">
        <v>96</v>
      </c>
      <c r="M113" s="117" t="s">
        <v>304</v>
      </c>
      <c r="N113" s="118">
        <v>32.24971</v>
      </c>
      <c r="O113" s="111">
        <f t="shared" si="2"/>
        <v>0.80624275000000001</v>
      </c>
    </row>
    <row r="114" spans="2:15">
      <c r="B114" s="117" t="s">
        <v>297</v>
      </c>
      <c r="C114" s="117" t="s">
        <v>298</v>
      </c>
      <c r="D114" s="117" t="s">
        <v>32</v>
      </c>
      <c r="E114" s="117" t="s">
        <v>111</v>
      </c>
      <c r="F114" s="117" t="s">
        <v>299</v>
      </c>
      <c r="G114" s="117" t="s">
        <v>305</v>
      </c>
      <c r="H114" s="117" t="s">
        <v>101</v>
      </c>
      <c r="I114" s="117" t="s">
        <v>301</v>
      </c>
      <c r="J114" s="117" t="s">
        <v>302</v>
      </c>
      <c r="K114" s="117" t="s">
        <v>303</v>
      </c>
      <c r="L114" s="117" t="s">
        <v>96</v>
      </c>
      <c r="M114" s="117" t="s">
        <v>304</v>
      </c>
      <c r="N114" s="118">
        <v>21.913229999999999</v>
      </c>
      <c r="O114" s="111">
        <f t="shared" si="2"/>
        <v>6.5301425399999999</v>
      </c>
    </row>
    <row r="115" spans="2:15">
      <c r="B115" s="117" t="s">
        <v>297</v>
      </c>
      <c r="C115" s="117" t="s">
        <v>298</v>
      </c>
      <c r="D115" s="117" t="s">
        <v>37</v>
      </c>
      <c r="E115" s="117" t="s">
        <v>113</v>
      </c>
      <c r="F115" s="117" t="s">
        <v>299</v>
      </c>
      <c r="G115" s="117" t="s">
        <v>305</v>
      </c>
      <c r="H115" s="117" t="s">
        <v>106</v>
      </c>
      <c r="I115" s="117" t="s">
        <v>306</v>
      </c>
      <c r="J115" s="117" t="s">
        <v>302</v>
      </c>
      <c r="K115" s="117" t="s">
        <v>307</v>
      </c>
      <c r="L115" s="117" t="s">
        <v>96</v>
      </c>
      <c r="M115" s="117" t="s">
        <v>304</v>
      </c>
      <c r="N115" s="118">
        <v>5.22262</v>
      </c>
      <c r="O115" s="111">
        <f t="shared" si="2"/>
        <v>1.5563407600000001</v>
      </c>
    </row>
    <row r="116" spans="2:15">
      <c r="B116" s="117" t="s">
        <v>297</v>
      </c>
      <c r="C116" s="117" t="s">
        <v>298</v>
      </c>
      <c r="D116" s="117" t="s">
        <v>33</v>
      </c>
      <c r="E116" s="117" t="s">
        <v>65</v>
      </c>
      <c r="F116" s="117" t="s">
        <v>299</v>
      </c>
      <c r="G116" s="117" t="s">
        <v>305</v>
      </c>
      <c r="H116" s="117" t="s">
        <v>95</v>
      </c>
      <c r="I116" s="117" t="s">
        <v>306</v>
      </c>
      <c r="J116" s="117" t="s">
        <v>302</v>
      </c>
      <c r="K116" s="117" t="s">
        <v>307</v>
      </c>
      <c r="L116" s="117" t="s">
        <v>96</v>
      </c>
      <c r="M116" s="117" t="s">
        <v>304</v>
      </c>
      <c r="N116" s="118">
        <v>0.46844000000000002</v>
      </c>
      <c r="O116" s="111">
        <f t="shared" si="2"/>
        <v>0.13959512000000002</v>
      </c>
    </row>
    <row r="117" spans="2:15">
      <c r="B117" s="117" t="s">
        <v>297</v>
      </c>
      <c r="C117" s="117" t="s">
        <v>298</v>
      </c>
      <c r="D117" s="117" t="s">
        <v>33</v>
      </c>
      <c r="E117" s="117" t="s">
        <v>65</v>
      </c>
      <c r="F117" s="117" t="s">
        <v>299</v>
      </c>
      <c r="G117" s="117" t="s">
        <v>305</v>
      </c>
      <c r="H117" s="117" t="s">
        <v>106</v>
      </c>
      <c r="I117" s="117" t="s">
        <v>306</v>
      </c>
      <c r="J117" s="117" t="s">
        <v>302</v>
      </c>
      <c r="K117" s="117" t="s">
        <v>307</v>
      </c>
      <c r="L117" s="117" t="s">
        <v>96</v>
      </c>
      <c r="M117" s="117" t="s">
        <v>304</v>
      </c>
      <c r="N117" s="118">
        <v>0.38006000000000001</v>
      </c>
      <c r="O117" s="111">
        <f t="shared" si="2"/>
        <v>0.11325788000000001</v>
      </c>
    </row>
    <row r="118" spans="2:15">
      <c r="B118" s="117" t="s">
        <v>297</v>
      </c>
      <c r="C118" s="117" t="s">
        <v>298</v>
      </c>
      <c r="D118" s="117" t="s">
        <v>31</v>
      </c>
      <c r="E118" s="117" t="s">
        <v>124</v>
      </c>
      <c r="F118" s="117" t="s">
        <v>299</v>
      </c>
      <c r="G118" s="117" t="s">
        <v>300</v>
      </c>
      <c r="H118" s="117" t="s">
        <v>101</v>
      </c>
      <c r="I118" s="117" t="s">
        <v>301</v>
      </c>
      <c r="J118" s="117" t="s">
        <v>302</v>
      </c>
      <c r="K118" s="117" t="s">
        <v>303</v>
      </c>
      <c r="L118" s="117" t="s">
        <v>96</v>
      </c>
      <c r="M118" s="117" t="s">
        <v>304</v>
      </c>
      <c r="N118" s="118">
        <v>13.704129999999999</v>
      </c>
      <c r="O118" s="111">
        <f t="shared" si="2"/>
        <v>0.34260325000000003</v>
      </c>
    </row>
    <row r="119" spans="2:15">
      <c r="B119" s="117" t="s">
        <v>297</v>
      </c>
      <c r="C119" s="117" t="s">
        <v>298</v>
      </c>
      <c r="D119" s="117" t="s">
        <v>308</v>
      </c>
      <c r="E119" s="117" t="s">
        <v>309</v>
      </c>
      <c r="F119" s="117" t="s">
        <v>299</v>
      </c>
      <c r="G119" s="117" t="s">
        <v>305</v>
      </c>
      <c r="H119" s="117" t="s">
        <v>95</v>
      </c>
      <c r="I119" s="117" t="s">
        <v>301</v>
      </c>
      <c r="J119" s="117" t="s">
        <v>302</v>
      </c>
      <c r="K119" s="117" t="s">
        <v>303</v>
      </c>
      <c r="L119" s="117" t="s">
        <v>96</v>
      </c>
      <c r="M119" s="117" t="s">
        <v>304</v>
      </c>
      <c r="N119" s="118">
        <v>617.42067999999995</v>
      </c>
      <c r="O119" s="111">
        <f t="shared" si="2"/>
        <v>183.99136263999998</v>
      </c>
    </row>
    <row r="120" spans="2:15">
      <c r="B120" s="117" t="s">
        <v>297</v>
      </c>
      <c r="C120" s="117" t="s">
        <v>298</v>
      </c>
      <c r="D120" s="117" t="s">
        <v>32</v>
      </c>
      <c r="E120" s="117" t="s">
        <v>111</v>
      </c>
      <c r="F120" s="117" t="s">
        <v>299</v>
      </c>
      <c r="G120" s="117" t="s">
        <v>305</v>
      </c>
      <c r="H120" s="117" t="s">
        <v>95</v>
      </c>
      <c r="I120" s="117" t="s">
        <v>306</v>
      </c>
      <c r="J120" s="117" t="s">
        <v>302</v>
      </c>
      <c r="K120" s="117" t="s">
        <v>307</v>
      </c>
      <c r="L120" s="117" t="s">
        <v>96</v>
      </c>
      <c r="M120" s="117" t="s">
        <v>304</v>
      </c>
      <c r="N120" s="118">
        <v>0.40653</v>
      </c>
      <c r="O120" s="111">
        <f t="shared" si="2"/>
        <v>0.12114593999999999</v>
      </c>
    </row>
    <row r="121" spans="2:15">
      <c r="B121" s="117" t="s">
        <v>297</v>
      </c>
      <c r="C121" s="117" t="s">
        <v>298</v>
      </c>
      <c r="D121" s="117" t="s">
        <v>32</v>
      </c>
      <c r="E121" s="117" t="s">
        <v>111</v>
      </c>
      <c r="F121" s="117" t="s">
        <v>299</v>
      </c>
      <c r="G121" s="117" t="s">
        <v>305</v>
      </c>
      <c r="H121" s="117" t="s">
        <v>101</v>
      </c>
      <c r="I121" s="117" t="s">
        <v>306</v>
      </c>
      <c r="J121" s="117" t="s">
        <v>302</v>
      </c>
      <c r="K121" s="117" t="s">
        <v>307</v>
      </c>
      <c r="L121" s="117" t="s">
        <v>96</v>
      </c>
      <c r="M121" s="117" t="s">
        <v>304</v>
      </c>
      <c r="N121" s="118">
        <v>0.43358000000000002</v>
      </c>
      <c r="O121" s="111">
        <f t="shared" si="2"/>
        <v>0.12920683999999999</v>
      </c>
    </row>
    <row r="122" spans="2:15">
      <c r="B122" s="117" t="s">
        <v>297</v>
      </c>
      <c r="C122" s="117" t="s">
        <v>298</v>
      </c>
      <c r="D122" s="117" t="s">
        <v>31</v>
      </c>
      <c r="E122" s="117" t="s">
        <v>124</v>
      </c>
      <c r="F122" s="117" t="s">
        <v>299</v>
      </c>
      <c r="G122" s="117" t="s">
        <v>305</v>
      </c>
      <c r="H122" s="117" t="s">
        <v>106</v>
      </c>
      <c r="I122" s="117" t="s">
        <v>301</v>
      </c>
      <c r="J122" s="117" t="s">
        <v>302</v>
      </c>
      <c r="K122" s="117" t="s">
        <v>303</v>
      </c>
      <c r="L122" s="117" t="s">
        <v>96</v>
      </c>
      <c r="M122" s="117" t="s">
        <v>304</v>
      </c>
      <c r="N122" s="118">
        <v>0.86795999999999995</v>
      </c>
      <c r="O122" s="111">
        <f t="shared" si="2"/>
        <v>0.25865208000000001</v>
      </c>
    </row>
    <row r="123" spans="2:15">
      <c r="B123" s="117" t="s">
        <v>297</v>
      </c>
      <c r="C123" s="117" t="s">
        <v>298</v>
      </c>
      <c r="D123" s="117" t="s">
        <v>308</v>
      </c>
      <c r="E123" s="117" t="s">
        <v>309</v>
      </c>
      <c r="F123" s="117" t="s">
        <v>299</v>
      </c>
      <c r="G123" s="117" t="s">
        <v>305</v>
      </c>
      <c r="H123" s="117" t="s">
        <v>106</v>
      </c>
      <c r="I123" s="117" t="s">
        <v>306</v>
      </c>
      <c r="J123" s="117" t="s">
        <v>302</v>
      </c>
      <c r="K123" s="117" t="s">
        <v>307</v>
      </c>
      <c r="L123" s="117" t="s">
        <v>96</v>
      </c>
      <c r="M123" s="117" t="s">
        <v>304</v>
      </c>
      <c r="N123" s="118">
        <v>36.235880000000002</v>
      </c>
      <c r="O123" s="111">
        <f t="shared" si="2"/>
        <v>10.79829224</v>
      </c>
    </row>
    <row r="124" spans="2:15">
      <c r="B124" s="117" t="s">
        <v>297</v>
      </c>
      <c r="C124" s="117" t="s">
        <v>298</v>
      </c>
      <c r="D124" s="117" t="s">
        <v>32</v>
      </c>
      <c r="E124" s="117" t="s">
        <v>111</v>
      </c>
      <c r="F124" s="117" t="s">
        <v>299</v>
      </c>
      <c r="G124" s="117" t="s">
        <v>305</v>
      </c>
      <c r="H124" s="117" t="s">
        <v>106</v>
      </c>
      <c r="I124" s="117" t="s">
        <v>301</v>
      </c>
      <c r="J124" s="117" t="s">
        <v>302</v>
      </c>
      <c r="K124" s="117" t="s">
        <v>303</v>
      </c>
      <c r="L124" s="117" t="s">
        <v>96</v>
      </c>
      <c r="M124" s="117" t="s">
        <v>304</v>
      </c>
      <c r="N124" s="118">
        <v>22.09816</v>
      </c>
      <c r="O124" s="111">
        <f t="shared" si="2"/>
        <v>6.5852516800000007</v>
      </c>
    </row>
    <row r="125" spans="2:15">
      <c r="B125" s="117" t="s">
        <v>297</v>
      </c>
      <c r="C125" s="117" t="s">
        <v>298</v>
      </c>
      <c r="D125" s="117" t="s">
        <v>31</v>
      </c>
      <c r="E125" s="117" t="s">
        <v>124</v>
      </c>
      <c r="F125" s="117" t="s">
        <v>299</v>
      </c>
      <c r="G125" s="117" t="s">
        <v>300</v>
      </c>
      <c r="H125" s="117" t="s">
        <v>106</v>
      </c>
      <c r="I125" s="117" t="s">
        <v>306</v>
      </c>
      <c r="J125" s="117" t="s">
        <v>302</v>
      </c>
      <c r="K125" s="117" t="s">
        <v>307</v>
      </c>
      <c r="L125" s="117" t="s">
        <v>96</v>
      </c>
      <c r="M125" s="117" t="s">
        <v>304</v>
      </c>
      <c r="N125" s="118">
        <v>7.6088500000000003</v>
      </c>
      <c r="O125" s="111">
        <f t="shared" si="2"/>
        <v>0.19022125000000001</v>
      </c>
    </row>
    <row r="126" spans="2:15">
      <c r="B126" s="117" t="s">
        <v>297</v>
      </c>
      <c r="C126" s="117" t="s">
        <v>298</v>
      </c>
      <c r="D126" s="117" t="s">
        <v>32</v>
      </c>
      <c r="E126" s="117" t="s">
        <v>111</v>
      </c>
      <c r="F126" s="117" t="s">
        <v>299</v>
      </c>
      <c r="G126" s="117" t="s">
        <v>305</v>
      </c>
      <c r="H126" s="117" t="s">
        <v>106</v>
      </c>
      <c r="I126" s="117" t="s">
        <v>306</v>
      </c>
      <c r="J126" s="117" t="s">
        <v>302</v>
      </c>
      <c r="K126" s="117" t="s">
        <v>307</v>
      </c>
      <c r="L126" s="117" t="s">
        <v>96</v>
      </c>
      <c r="M126" s="117" t="s">
        <v>304</v>
      </c>
      <c r="N126" s="118">
        <v>0.43038999999999999</v>
      </c>
      <c r="O126" s="111">
        <f t="shared" si="2"/>
        <v>0.12825621999999998</v>
      </c>
    </row>
    <row r="127" spans="2:15">
      <c r="B127" s="117" t="s">
        <v>297</v>
      </c>
      <c r="C127" s="117" t="s">
        <v>298</v>
      </c>
      <c r="D127" s="117" t="s">
        <v>30</v>
      </c>
      <c r="E127" s="117" t="s">
        <v>115</v>
      </c>
      <c r="F127" s="117" t="s">
        <v>299</v>
      </c>
      <c r="G127" s="117" t="s">
        <v>300</v>
      </c>
      <c r="H127" s="117" t="s">
        <v>101</v>
      </c>
      <c r="I127" s="117" t="s">
        <v>301</v>
      </c>
      <c r="J127" s="117" t="s">
        <v>302</v>
      </c>
      <c r="K127" s="117" t="s">
        <v>303</v>
      </c>
      <c r="L127" s="117" t="s">
        <v>96</v>
      </c>
      <c r="M127" s="117" t="s">
        <v>304</v>
      </c>
      <c r="N127" s="118">
        <v>758.43998999999997</v>
      </c>
      <c r="O127" s="111">
        <f t="shared" si="2"/>
        <v>18.960999749999999</v>
      </c>
    </row>
    <row r="128" spans="2:15">
      <c r="B128" s="117" t="s">
        <v>297</v>
      </c>
      <c r="C128" s="117" t="s">
        <v>298</v>
      </c>
      <c r="D128" s="117" t="s">
        <v>31</v>
      </c>
      <c r="E128" s="117" t="s">
        <v>124</v>
      </c>
      <c r="F128" s="117" t="s">
        <v>299</v>
      </c>
      <c r="G128" s="117" t="s">
        <v>300</v>
      </c>
      <c r="H128" s="117" t="s">
        <v>106</v>
      </c>
      <c r="I128" s="117" t="s">
        <v>301</v>
      </c>
      <c r="J128" s="117" t="s">
        <v>302</v>
      </c>
      <c r="K128" s="117" t="s">
        <v>303</v>
      </c>
      <c r="L128" s="117" t="s">
        <v>96</v>
      </c>
      <c r="M128" s="117" t="s">
        <v>304</v>
      </c>
      <c r="N128" s="118">
        <v>14.117179999999999</v>
      </c>
      <c r="O128" s="111">
        <f t="shared" si="2"/>
        <v>0.35292949999999995</v>
      </c>
    </row>
    <row r="129" spans="2:15">
      <c r="B129" s="117" t="s">
        <v>297</v>
      </c>
      <c r="C129" s="117" t="s">
        <v>298</v>
      </c>
      <c r="D129" s="117" t="s">
        <v>31</v>
      </c>
      <c r="E129" s="117" t="s">
        <v>124</v>
      </c>
      <c r="F129" s="117" t="s">
        <v>299</v>
      </c>
      <c r="G129" s="117" t="s">
        <v>300</v>
      </c>
      <c r="H129" s="117" t="s">
        <v>95</v>
      </c>
      <c r="I129" s="117" t="s">
        <v>306</v>
      </c>
      <c r="J129" s="117" t="s">
        <v>302</v>
      </c>
      <c r="K129" s="117" t="s">
        <v>307</v>
      </c>
      <c r="L129" s="117" t="s">
        <v>96</v>
      </c>
      <c r="M129" s="117" t="s">
        <v>304</v>
      </c>
      <c r="N129" s="118">
        <v>9.3177800000000008</v>
      </c>
      <c r="O129" s="111">
        <f t="shared" si="2"/>
        <v>0.23294450000000003</v>
      </c>
    </row>
    <row r="130" spans="2:15">
      <c r="B130" s="117" t="s">
        <v>297</v>
      </c>
      <c r="C130" s="117" t="s">
        <v>298</v>
      </c>
      <c r="D130" s="117" t="s">
        <v>310</v>
      </c>
      <c r="E130" s="117" t="s">
        <v>311</v>
      </c>
      <c r="F130" s="117" t="s">
        <v>299</v>
      </c>
      <c r="G130" s="117" t="s">
        <v>305</v>
      </c>
      <c r="H130" s="117" t="s">
        <v>101</v>
      </c>
      <c r="I130" s="117" t="s">
        <v>301</v>
      </c>
      <c r="J130" s="117" t="s">
        <v>302</v>
      </c>
      <c r="K130" s="117" t="s">
        <v>303</v>
      </c>
      <c r="L130" s="117" t="s">
        <v>96</v>
      </c>
      <c r="M130" s="117" t="s">
        <v>304</v>
      </c>
      <c r="N130" s="118">
        <v>598.22708</v>
      </c>
      <c r="O130" s="111">
        <f t="shared" si="2"/>
        <v>178.27166983999999</v>
      </c>
    </row>
    <row r="131" spans="2:15">
      <c r="B131" s="117" t="s">
        <v>297</v>
      </c>
      <c r="C131" s="117" t="s">
        <v>298</v>
      </c>
      <c r="D131" s="117" t="s">
        <v>31</v>
      </c>
      <c r="E131" s="117" t="s">
        <v>124</v>
      </c>
      <c r="F131" s="117" t="s">
        <v>299</v>
      </c>
      <c r="G131" s="117" t="s">
        <v>305</v>
      </c>
      <c r="H131" s="117" t="s">
        <v>106</v>
      </c>
      <c r="I131" s="117" t="s">
        <v>306</v>
      </c>
      <c r="J131" s="117" t="s">
        <v>302</v>
      </c>
      <c r="K131" s="117" t="s">
        <v>307</v>
      </c>
      <c r="L131" s="117" t="s">
        <v>96</v>
      </c>
      <c r="M131" s="117" t="s">
        <v>304</v>
      </c>
      <c r="N131" s="118">
        <v>2.7390000000000001E-2</v>
      </c>
      <c r="O131" s="111">
        <f t="shared" si="2"/>
        <v>8.1622199999999995E-3</v>
      </c>
    </row>
    <row r="132" spans="2:15">
      <c r="B132" s="117" t="s">
        <v>297</v>
      </c>
      <c r="C132" s="117" t="s">
        <v>298</v>
      </c>
      <c r="D132" s="117" t="s">
        <v>30</v>
      </c>
      <c r="E132" s="117" t="s">
        <v>115</v>
      </c>
      <c r="F132" s="117" t="s">
        <v>299</v>
      </c>
      <c r="G132" s="117" t="s">
        <v>305</v>
      </c>
      <c r="H132" s="117" t="s">
        <v>101</v>
      </c>
      <c r="I132" s="117" t="s">
        <v>301</v>
      </c>
      <c r="J132" s="117" t="s">
        <v>302</v>
      </c>
      <c r="K132" s="117" t="s">
        <v>303</v>
      </c>
      <c r="L132" s="117" t="s">
        <v>96</v>
      </c>
      <c r="M132" s="117" t="s">
        <v>304</v>
      </c>
      <c r="N132" s="118">
        <v>37.624850000000002</v>
      </c>
      <c r="O132" s="111">
        <f t="shared" si="2"/>
        <v>11.212205300000001</v>
      </c>
    </row>
    <row r="133" spans="2:15">
      <c r="B133" s="117" t="s">
        <v>297</v>
      </c>
      <c r="C133" s="117" t="s">
        <v>298</v>
      </c>
      <c r="D133" s="117" t="s">
        <v>310</v>
      </c>
      <c r="E133" s="117" t="s">
        <v>311</v>
      </c>
      <c r="F133" s="117" t="s">
        <v>299</v>
      </c>
      <c r="G133" s="117" t="s">
        <v>305</v>
      </c>
      <c r="H133" s="117" t="s">
        <v>95</v>
      </c>
      <c r="I133" s="117" t="s">
        <v>306</v>
      </c>
      <c r="J133" s="117" t="s">
        <v>302</v>
      </c>
      <c r="K133" s="117" t="s">
        <v>307</v>
      </c>
      <c r="L133" s="117" t="s">
        <v>96</v>
      </c>
      <c r="M133" s="117" t="s">
        <v>304</v>
      </c>
      <c r="N133" s="118">
        <v>33.759309999999999</v>
      </c>
      <c r="O133" s="111">
        <f t="shared" si="2"/>
        <v>10.060274379999999</v>
      </c>
    </row>
    <row r="134" spans="2:15">
      <c r="B134" s="117" t="s">
        <v>297</v>
      </c>
      <c r="C134" s="117" t="s">
        <v>298</v>
      </c>
      <c r="D134" s="117" t="s">
        <v>30</v>
      </c>
      <c r="E134" s="117" t="s">
        <v>115</v>
      </c>
      <c r="F134" s="117" t="s">
        <v>299</v>
      </c>
      <c r="G134" s="117" t="s">
        <v>305</v>
      </c>
      <c r="H134" s="117" t="s">
        <v>106</v>
      </c>
      <c r="I134" s="117" t="s">
        <v>306</v>
      </c>
      <c r="J134" s="117" t="s">
        <v>302</v>
      </c>
      <c r="K134" s="117" t="s">
        <v>307</v>
      </c>
      <c r="L134" s="117" t="s">
        <v>96</v>
      </c>
      <c r="M134" s="117" t="s">
        <v>304</v>
      </c>
      <c r="N134" s="118">
        <v>6.3456900000000003</v>
      </c>
      <c r="O134" s="111">
        <f t="shared" si="2"/>
        <v>1.8910156200000001</v>
      </c>
    </row>
    <row r="135" spans="2:15">
      <c r="B135" s="117" t="s">
        <v>297</v>
      </c>
      <c r="C135" s="117" t="s">
        <v>298</v>
      </c>
      <c r="D135" s="117" t="s">
        <v>30</v>
      </c>
      <c r="E135" s="117" t="s">
        <v>115</v>
      </c>
      <c r="F135" s="117" t="s">
        <v>299</v>
      </c>
      <c r="G135" s="117" t="s">
        <v>300</v>
      </c>
      <c r="H135" s="117" t="s">
        <v>106</v>
      </c>
      <c r="I135" s="117" t="s">
        <v>301</v>
      </c>
      <c r="J135" s="117" t="s">
        <v>302</v>
      </c>
      <c r="K135" s="117" t="s">
        <v>303</v>
      </c>
      <c r="L135" s="117" t="s">
        <v>96</v>
      </c>
      <c r="M135" s="117" t="s">
        <v>304</v>
      </c>
      <c r="N135" s="118">
        <v>737.65947000000006</v>
      </c>
      <c r="O135" s="111">
        <f t="shared" si="2"/>
        <v>18.441486749999999</v>
      </c>
    </row>
    <row r="136" spans="2:15">
      <c r="B136" s="117" t="s">
        <v>297</v>
      </c>
      <c r="C136" s="117" t="s">
        <v>298</v>
      </c>
      <c r="D136" s="117" t="s">
        <v>36</v>
      </c>
      <c r="E136" s="117" t="s">
        <v>121</v>
      </c>
      <c r="F136" s="117" t="s">
        <v>299</v>
      </c>
      <c r="G136" s="117" t="s">
        <v>300</v>
      </c>
      <c r="H136" s="117" t="s">
        <v>95</v>
      </c>
      <c r="I136" s="117" t="s">
        <v>301</v>
      </c>
      <c r="J136" s="117" t="s">
        <v>302</v>
      </c>
      <c r="K136" s="117" t="s">
        <v>303</v>
      </c>
      <c r="L136" s="117" t="s">
        <v>96</v>
      </c>
      <c r="M136" s="117" t="s">
        <v>304</v>
      </c>
      <c r="N136" s="118">
        <v>101.5063</v>
      </c>
      <c r="O136" s="111">
        <f t="shared" si="2"/>
        <v>2.5376574999999999</v>
      </c>
    </row>
    <row r="137" spans="2:15">
      <c r="B137" s="117" t="s">
        <v>297</v>
      </c>
      <c r="C137" s="117" t="s">
        <v>298</v>
      </c>
      <c r="D137" s="117" t="s">
        <v>36</v>
      </c>
      <c r="E137" s="117" t="s">
        <v>121</v>
      </c>
      <c r="F137" s="117" t="s">
        <v>299</v>
      </c>
      <c r="G137" s="117" t="s">
        <v>300</v>
      </c>
      <c r="H137" s="117" t="s">
        <v>106</v>
      </c>
      <c r="I137" s="117" t="s">
        <v>301</v>
      </c>
      <c r="J137" s="117" t="s">
        <v>302</v>
      </c>
      <c r="K137" s="117" t="s">
        <v>303</v>
      </c>
      <c r="L137" s="117" t="s">
        <v>96</v>
      </c>
      <c r="M137" s="117" t="s">
        <v>304</v>
      </c>
      <c r="N137" s="118">
        <v>103.34269999999999</v>
      </c>
      <c r="O137" s="111">
        <f t="shared" si="2"/>
        <v>2.5835674999999996</v>
      </c>
    </row>
    <row r="138" spans="2:15">
      <c r="B138" s="117" t="s">
        <v>297</v>
      </c>
      <c r="C138" s="117" t="s">
        <v>298</v>
      </c>
      <c r="D138" s="117" t="s">
        <v>36</v>
      </c>
      <c r="E138" s="117" t="s">
        <v>121</v>
      </c>
      <c r="F138" s="117" t="s">
        <v>299</v>
      </c>
      <c r="G138" s="117" t="s">
        <v>300</v>
      </c>
      <c r="H138" s="117" t="s">
        <v>101</v>
      </c>
      <c r="I138" s="117" t="s">
        <v>306</v>
      </c>
      <c r="J138" s="117" t="s">
        <v>302</v>
      </c>
      <c r="K138" s="117" t="s">
        <v>307</v>
      </c>
      <c r="L138" s="117" t="s">
        <v>96</v>
      </c>
      <c r="M138" s="117" t="s">
        <v>304</v>
      </c>
      <c r="N138" s="118">
        <v>98.20778</v>
      </c>
      <c r="O138" s="111">
        <f t="shared" si="2"/>
        <v>2.4551945000000002</v>
      </c>
    </row>
    <row r="139" spans="2:15">
      <c r="B139" s="117" t="s">
        <v>297</v>
      </c>
      <c r="C139" s="117" t="s">
        <v>298</v>
      </c>
      <c r="D139" s="117" t="s">
        <v>36</v>
      </c>
      <c r="E139" s="117" t="s">
        <v>121</v>
      </c>
      <c r="F139" s="117" t="s">
        <v>299</v>
      </c>
      <c r="G139" s="117" t="s">
        <v>300</v>
      </c>
      <c r="H139" s="117" t="s">
        <v>106</v>
      </c>
      <c r="I139" s="117" t="s">
        <v>306</v>
      </c>
      <c r="J139" s="117" t="s">
        <v>302</v>
      </c>
      <c r="K139" s="117" t="s">
        <v>307</v>
      </c>
      <c r="L139" s="117" t="s">
        <v>96</v>
      </c>
      <c r="M139" s="117" t="s">
        <v>304</v>
      </c>
      <c r="N139" s="118">
        <v>80.340770000000006</v>
      </c>
      <c r="O139" s="111">
        <f t="shared" si="2"/>
        <v>2.00851925</v>
      </c>
    </row>
    <row r="140" spans="2:15">
      <c r="B140" s="117" t="s">
        <v>297</v>
      </c>
      <c r="C140" s="117" t="s">
        <v>298</v>
      </c>
      <c r="D140" s="117" t="s">
        <v>30</v>
      </c>
      <c r="E140" s="117" t="s">
        <v>115</v>
      </c>
      <c r="F140" s="117" t="s">
        <v>299</v>
      </c>
      <c r="G140" s="117" t="s">
        <v>300</v>
      </c>
      <c r="H140" s="117" t="s">
        <v>101</v>
      </c>
      <c r="I140" s="117" t="s">
        <v>306</v>
      </c>
      <c r="J140" s="117" t="s">
        <v>302</v>
      </c>
      <c r="K140" s="117" t="s">
        <v>307</v>
      </c>
      <c r="L140" s="117" t="s">
        <v>96</v>
      </c>
      <c r="M140" s="117" t="s">
        <v>304</v>
      </c>
      <c r="N140" s="118">
        <v>813.38702999999998</v>
      </c>
      <c r="O140" s="111">
        <f t="shared" si="2"/>
        <v>20.334675749999999</v>
      </c>
    </row>
    <row r="141" spans="2:15">
      <c r="B141" s="117" t="s">
        <v>297</v>
      </c>
      <c r="C141" s="117" t="s">
        <v>298</v>
      </c>
      <c r="D141" s="117" t="s">
        <v>36</v>
      </c>
      <c r="E141" s="117" t="s">
        <v>121</v>
      </c>
      <c r="F141" s="117" t="s">
        <v>299</v>
      </c>
      <c r="G141" s="117" t="s">
        <v>300</v>
      </c>
      <c r="H141" s="117" t="s">
        <v>95</v>
      </c>
      <c r="I141" s="117" t="s">
        <v>306</v>
      </c>
      <c r="J141" s="117" t="s">
        <v>302</v>
      </c>
      <c r="K141" s="117" t="s">
        <v>307</v>
      </c>
      <c r="L141" s="117" t="s">
        <v>96</v>
      </c>
      <c r="M141" s="117" t="s">
        <v>304</v>
      </c>
      <c r="N141" s="118">
        <v>107.92247999999999</v>
      </c>
      <c r="O141" s="111">
        <f t="shared" si="2"/>
        <v>2.6980619999999997</v>
      </c>
    </row>
    <row r="142" spans="2:15">
      <c r="B142" s="117" t="s">
        <v>297</v>
      </c>
      <c r="C142" s="117" t="s">
        <v>298</v>
      </c>
      <c r="D142" s="117" t="s">
        <v>313</v>
      </c>
      <c r="E142" s="117" t="s">
        <v>143</v>
      </c>
      <c r="F142" s="117" t="s">
        <v>299</v>
      </c>
      <c r="G142" s="117" t="s">
        <v>300</v>
      </c>
      <c r="H142" s="117" t="s">
        <v>95</v>
      </c>
      <c r="I142" s="117" t="s">
        <v>306</v>
      </c>
      <c r="J142" s="117" t="s">
        <v>302</v>
      </c>
      <c r="K142" s="117" t="s">
        <v>307</v>
      </c>
      <c r="L142" s="117" t="s">
        <v>96</v>
      </c>
      <c r="M142" s="117" t="s">
        <v>304</v>
      </c>
      <c r="N142" s="118">
        <v>7.3999999999999996E-2</v>
      </c>
      <c r="O142" s="111">
        <f t="shared" si="2"/>
        <v>1.8499999999999999E-3</v>
      </c>
    </row>
    <row r="143" spans="2:15">
      <c r="B143" s="117" t="s">
        <v>297</v>
      </c>
      <c r="C143" s="117" t="s">
        <v>298</v>
      </c>
      <c r="D143" s="117" t="s">
        <v>313</v>
      </c>
      <c r="E143" s="117" t="s">
        <v>143</v>
      </c>
      <c r="F143" s="117" t="s">
        <v>299</v>
      </c>
      <c r="G143" s="117" t="s">
        <v>300</v>
      </c>
      <c r="H143" s="117" t="s">
        <v>106</v>
      </c>
      <c r="I143" s="117" t="s">
        <v>306</v>
      </c>
      <c r="J143" s="117" t="s">
        <v>302</v>
      </c>
      <c r="K143" s="117" t="s">
        <v>307</v>
      </c>
      <c r="L143" s="117" t="s">
        <v>96</v>
      </c>
      <c r="M143" s="117" t="s">
        <v>304</v>
      </c>
      <c r="N143" s="118">
        <v>5.9810000000000002E-2</v>
      </c>
      <c r="O143" s="111">
        <f t="shared" si="2"/>
        <v>1.4952500000000001E-3</v>
      </c>
    </row>
    <row r="144" spans="2:15">
      <c r="B144" s="117" t="s">
        <v>297</v>
      </c>
      <c r="C144" s="117" t="s">
        <v>298</v>
      </c>
      <c r="D144" s="117" t="s">
        <v>30</v>
      </c>
      <c r="E144" s="117" t="s">
        <v>115</v>
      </c>
      <c r="F144" s="117" t="s">
        <v>299</v>
      </c>
      <c r="G144" s="117" t="s">
        <v>305</v>
      </c>
      <c r="H144" s="117" t="s">
        <v>95</v>
      </c>
      <c r="I144" s="117" t="s">
        <v>301</v>
      </c>
      <c r="J144" s="117" t="s">
        <v>302</v>
      </c>
      <c r="K144" s="117" t="s">
        <v>303</v>
      </c>
      <c r="L144" s="117" t="s">
        <v>96</v>
      </c>
      <c r="M144" s="117" t="s">
        <v>304</v>
      </c>
      <c r="N144" s="118">
        <v>43.670870000000001</v>
      </c>
      <c r="O144" s="111">
        <f t="shared" si="2"/>
        <v>13.01391926</v>
      </c>
    </row>
    <row r="145" spans="2:15">
      <c r="B145" s="117" t="s">
        <v>297</v>
      </c>
      <c r="C145" s="117" t="s">
        <v>298</v>
      </c>
      <c r="D145" s="117" t="s">
        <v>30</v>
      </c>
      <c r="E145" s="117" t="s">
        <v>115</v>
      </c>
      <c r="F145" s="117" t="s">
        <v>299</v>
      </c>
      <c r="G145" s="117" t="s">
        <v>305</v>
      </c>
      <c r="H145" s="117" t="s">
        <v>95</v>
      </c>
      <c r="I145" s="117" t="s">
        <v>306</v>
      </c>
      <c r="J145" s="117" t="s">
        <v>302</v>
      </c>
      <c r="K145" s="117" t="s">
        <v>307</v>
      </c>
      <c r="L145" s="117" t="s">
        <v>96</v>
      </c>
      <c r="M145" s="117" t="s">
        <v>304</v>
      </c>
      <c r="N145" s="118">
        <v>5.8597000000000001</v>
      </c>
      <c r="O145" s="111">
        <f t="shared" si="2"/>
        <v>1.7461906</v>
      </c>
    </row>
    <row r="146" spans="2:15">
      <c r="B146" s="117" t="s">
        <v>297</v>
      </c>
      <c r="C146" s="117" t="s">
        <v>298</v>
      </c>
      <c r="D146" s="117" t="s">
        <v>313</v>
      </c>
      <c r="E146" s="117" t="s">
        <v>143</v>
      </c>
      <c r="F146" s="117" t="s">
        <v>299</v>
      </c>
      <c r="G146" s="117" t="s">
        <v>305</v>
      </c>
      <c r="H146" s="117" t="s">
        <v>101</v>
      </c>
      <c r="I146" s="117" t="s">
        <v>301</v>
      </c>
      <c r="J146" s="117" t="s">
        <v>302</v>
      </c>
      <c r="K146" s="117" t="s">
        <v>303</v>
      </c>
      <c r="L146" s="117" t="s">
        <v>96</v>
      </c>
      <c r="M146" s="117" t="s">
        <v>304</v>
      </c>
      <c r="N146" s="118">
        <v>2.6980000000000001E-2</v>
      </c>
      <c r="O146" s="111">
        <f t="shared" si="2"/>
        <v>8.04004E-3</v>
      </c>
    </row>
    <row r="147" spans="2:15">
      <c r="B147" s="117" t="s">
        <v>297</v>
      </c>
      <c r="C147" s="117" t="s">
        <v>298</v>
      </c>
      <c r="D147" s="117" t="s">
        <v>313</v>
      </c>
      <c r="E147" s="117" t="s">
        <v>143</v>
      </c>
      <c r="F147" s="117" t="s">
        <v>299</v>
      </c>
      <c r="G147" s="117" t="s">
        <v>300</v>
      </c>
      <c r="H147" s="117" t="s">
        <v>101</v>
      </c>
      <c r="I147" s="117" t="s">
        <v>301</v>
      </c>
      <c r="J147" s="117" t="s">
        <v>302</v>
      </c>
      <c r="K147" s="117" t="s">
        <v>303</v>
      </c>
      <c r="L147" s="117" t="s">
        <v>96</v>
      </c>
      <c r="M147" s="117" t="s">
        <v>304</v>
      </c>
      <c r="N147" s="118">
        <v>0.64398</v>
      </c>
      <c r="O147" s="111">
        <f t="shared" si="2"/>
        <v>1.6099499999999999E-2</v>
      </c>
    </row>
    <row r="148" spans="2:15">
      <c r="B148" s="117" t="s">
        <v>297</v>
      </c>
      <c r="C148" s="117" t="s">
        <v>298</v>
      </c>
      <c r="D148" s="117" t="s">
        <v>313</v>
      </c>
      <c r="E148" s="117" t="s">
        <v>143</v>
      </c>
      <c r="F148" s="117" t="s">
        <v>299</v>
      </c>
      <c r="G148" s="117" t="s">
        <v>300</v>
      </c>
      <c r="H148" s="117" t="s">
        <v>106</v>
      </c>
      <c r="I148" s="117" t="s">
        <v>301</v>
      </c>
      <c r="J148" s="117" t="s">
        <v>302</v>
      </c>
      <c r="K148" s="117" t="s">
        <v>303</v>
      </c>
      <c r="L148" s="117" t="s">
        <v>96</v>
      </c>
      <c r="M148" s="117" t="s">
        <v>304</v>
      </c>
      <c r="N148" s="118">
        <v>0.63690999999999998</v>
      </c>
      <c r="O148" s="111">
        <f t="shared" si="2"/>
        <v>1.5922749999999999E-2</v>
      </c>
    </row>
    <row r="149" spans="2:15">
      <c r="B149" s="117" t="s">
        <v>297</v>
      </c>
      <c r="C149" s="117" t="s">
        <v>298</v>
      </c>
      <c r="D149" s="117" t="s">
        <v>28</v>
      </c>
      <c r="E149" s="117" t="s">
        <v>67</v>
      </c>
      <c r="F149" s="117" t="s">
        <v>299</v>
      </c>
      <c r="G149" s="117" t="s">
        <v>300</v>
      </c>
      <c r="H149" s="117" t="s">
        <v>95</v>
      </c>
      <c r="I149" s="117" t="s">
        <v>306</v>
      </c>
      <c r="J149" s="117" t="s">
        <v>302</v>
      </c>
      <c r="K149" s="117" t="s">
        <v>307</v>
      </c>
      <c r="L149" s="117" t="s">
        <v>96</v>
      </c>
      <c r="M149" s="117" t="s">
        <v>304</v>
      </c>
      <c r="N149" s="118">
        <v>56.968089999999997</v>
      </c>
      <c r="O149" s="111">
        <f t="shared" si="2"/>
        <v>1.4242022499999998</v>
      </c>
    </row>
    <row r="150" spans="2:15">
      <c r="B150" s="117" t="s">
        <v>297</v>
      </c>
      <c r="C150" s="117" t="s">
        <v>298</v>
      </c>
      <c r="D150" s="117" t="s">
        <v>28</v>
      </c>
      <c r="E150" s="117" t="s">
        <v>67</v>
      </c>
      <c r="F150" s="117" t="s">
        <v>299</v>
      </c>
      <c r="G150" s="117" t="s">
        <v>305</v>
      </c>
      <c r="H150" s="117" t="s">
        <v>101</v>
      </c>
      <c r="I150" s="117" t="s">
        <v>301</v>
      </c>
      <c r="J150" s="117" t="s">
        <v>302</v>
      </c>
      <c r="K150" s="117" t="s">
        <v>303</v>
      </c>
      <c r="L150" s="117" t="s">
        <v>96</v>
      </c>
      <c r="M150" s="117" t="s">
        <v>304</v>
      </c>
      <c r="N150" s="118">
        <v>8.0083099999999998</v>
      </c>
      <c r="O150" s="111">
        <f t="shared" si="2"/>
        <v>2.38647638</v>
      </c>
    </row>
    <row r="151" spans="2:15">
      <c r="B151" s="117" t="s">
        <v>297</v>
      </c>
      <c r="C151" s="117" t="s">
        <v>298</v>
      </c>
      <c r="D151" s="117" t="s">
        <v>313</v>
      </c>
      <c r="E151" s="117" t="s">
        <v>143</v>
      </c>
      <c r="F151" s="117" t="s">
        <v>299</v>
      </c>
      <c r="G151" s="117" t="s">
        <v>305</v>
      </c>
      <c r="H151" s="117" t="s">
        <v>101</v>
      </c>
      <c r="I151" s="117" t="s">
        <v>306</v>
      </c>
      <c r="J151" s="117" t="s">
        <v>302</v>
      </c>
      <c r="K151" s="117" t="s">
        <v>307</v>
      </c>
      <c r="L151" s="117" t="s">
        <v>96</v>
      </c>
      <c r="M151" s="117" t="s">
        <v>304</v>
      </c>
      <c r="N151" s="118">
        <v>2.5000000000000001E-3</v>
      </c>
      <c r="O151" s="111">
        <f t="shared" si="2"/>
        <v>7.45E-4</v>
      </c>
    </row>
    <row r="152" spans="2:15">
      <c r="B152" s="117" t="s">
        <v>297</v>
      </c>
      <c r="C152" s="117" t="s">
        <v>298</v>
      </c>
      <c r="D152" s="117" t="s">
        <v>313</v>
      </c>
      <c r="E152" s="117" t="s">
        <v>143</v>
      </c>
      <c r="F152" s="117" t="s">
        <v>299</v>
      </c>
      <c r="G152" s="117" t="s">
        <v>305</v>
      </c>
      <c r="H152" s="117" t="s">
        <v>95</v>
      </c>
      <c r="I152" s="117" t="s">
        <v>301</v>
      </c>
      <c r="J152" s="117" t="s">
        <v>302</v>
      </c>
      <c r="K152" s="117" t="s">
        <v>303</v>
      </c>
      <c r="L152" s="117" t="s">
        <v>96</v>
      </c>
      <c r="M152" s="117" t="s">
        <v>304</v>
      </c>
      <c r="N152" s="118">
        <v>2.6800000000000001E-2</v>
      </c>
      <c r="O152" s="111">
        <f t="shared" si="2"/>
        <v>7.9864000000000011E-3</v>
      </c>
    </row>
    <row r="153" spans="2:15">
      <c r="B153" s="117" t="s">
        <v>297</v>
      </c>
      <c r="C153" s="117" t="s">
        <v>298</v>
      </c>
      <c r="D153" s="117" t="s">
        <v>313</v>
      </c>
      <c r="E153" s="117" t="s">
        <v>143</v>
      </c>
      <c r="F153" s="117" t="s">
        <v>299</v>
      </c>
      <c r="G153" s="117" t="s">
        <v>305</v>
      </c>
      <c r="H153" s="117" t="s">
        <v>95</v>
      </c>
      <c r="I153" s="117" t="s">
        <v>306</v>
      </c>
      <c r="J153" s="117" t="s">
        <v>302</v>
      </c>
      <c r="K153" s="117" t="s">
        <v>307</v>
      </c>
      <c r="L153" s="117" t="s">
        <v>96</v>
      </c>
      <c r="M153" s="117" t="s">
        <v>304</v>
      </c>
      <c r="N153" s="118">
        <v>2.2899999999999999E-3</v>
      </c>
      <c r="O153" s="111">
        <f t="shared" si="2"/>
        <v>6.8241999999999999E-4</v>
      </c>
    </row>
    <row r="154" spans="2:15">
      <c r="B154" s="117" t="s">
        <v>297</v>
      </c>
      <c r="C154" s="117" t="s">
        <v>298</v>
      </c>
      <c r="D154" s="117" t="s">
        <v>28</v>
      </c>
      <c r="E154" s="117" t="s">
        <v>67</v>
      </c>
      <c r="F154" s="117" t="s">
        <v>299</v>
      </c>
      <c r="G154" s="117" t="s">
        <v>300</v>
      </c>
      <c r="H154" s="117" t="s">
        <v>101</v>
      </c>
      <c r="I154" s="117" t="s">
        <v>306</v>
      </c>
      <c r="J154" s="117" t="s">
        <v>302</v>
      </c>
      <c r="K154" s="117" t="s">
        <v>307</v>
      </c>
      <c r="L154" s="117" t="s">
        <v>96</v>
      </c>
      <c r="M154" s="117" t="s">
        <v>304</v>
      </c>
      <c r="N154" s="118">
        <v>51.156649999999999</v>
      </c>
      <c r="O154" s="111">
        <f t="shared" si="2"/>
        <v>1.27891625</v>
      </c>
    </row>
    <row r="155" spans="2:15">
      <c r="B155" s="117" t="s">
        <v>297</v>
      </c>
      <c r="C155" s="117" t="s">
        <v>298</v>
      </c>
      <c r="D155" s="117" t="s">
        <v>28</v>
      </c>
      <c r="E155" s="117" t="s">
        <v>67</v>
      </c>
      <c r="F155" s="117" t="s">
        <v>299</v>
      </c>
      <c r="G155" s="117" t="s">
        <v>300</v>
      </c>
      <c r="H155" s="117" t="s">
        <v>101</v>
      </c>
      <c r="I155" s="117" t="s">
        <v>301</v>
      </c>
      <c r="J155" s="117" t="s">
        <v>302</v>
      </c>
      <c r="K155" s="117" t="s">
        <v>303</v>
      </c>
      <c r="L155" s="117" t="s">
        <v>96</v>
      </c>
      <c r="M155" s="117" t="s">
        <v>304</v>
      </c>
      <c r="N155" s="118">
        <v>76.826920000000001</v>
      </c>
      <c r="O155" s="111">
        <f t="shared" si="2"/>
        <v>1.9206730000000001</v>
      </c>
    </row>
    <row r="156" spans="2:15">
      <c r="B156" s="117" t="s">
        <v>297</v>
      </c>
      <c r="C156" s="117" t="s">
        <v>298</v>
      </c>
      <c r="D156" s="117" t="s">
        <v>35</v>
      </c>
      <c r="E156" s="117" t="s">
        <v>114</v>
      </c>
      <c r="F156" s="117" t="s">
        <v>299</v>
      </c>
      <c r="G156" s="117" t="s">
        <v>305</v>
      </c>
      <c r="H156" s="117" t="s">
        <v>95</v>
      </c>
      <c r="I156" s="117" t="s">
        <v>306</v>
      </c>
      <c r="J156" s="117" t="s">
        <v>302</v>
      </c>
      <c r="K156" s="117" t="s">
        <v>307</v>
      </c>
      <c r="L156" s="117" t="s">
        <v>96</v>
      </c>
      <c r="M156" s="117" t="s">
        <v>304</v>
      </c>
      <c r="N156" s="118">
        <v>2.7821199999999999</v>
      </c>
      <c r="O156" s="111">
        <f t="shared" si="2"/>
        <v>0.82907175999999994</v>
      </c>
    </row>
    <row r="157" spans="2:15">
      <c r="B157" s="117" t="s">
        <v>297</v>
      </c>
      <c r="C157" s="117" t="s">
        <v>298</v>
      </c>
      <c r="D157" s="117" t="s">
        <v>27</v>
      </c>
      <c r="E157" s="117" t="s">
        <v>117</v>
      </c>
      <c r="F157" s="117" t="s">
        <v>299</v>
      </c>
      <c r="G157" s="117" t="s">
        <v>300</v>
      </c>
      <c r="H157" s="117" t="s">
        <v>106</v>
      </c>
      <c r="I157" s="117" t="s">
        <v>306</v>
      </c>
      <c r="J157" s="117" t="s">
        <v>302</v>
      </c>
      <c r="K157" s="117" t="s">
        <v>307</v>
      </c>
      <c r="L157" s="117" t="s">
        <v>96</v>
      </c>
      <c r="M157" s="117" t="s">
        <v>304</v>
      </c>
      <c r="N157" s="118">
        <v>3.09653</v>
      </c>
      <c r="O157" s="111">
        <f t="shared" si="2"/>
        <v>7.7413250000000003E-2</v>
      </c>
    </row>
    <row r="158" spans="2:15">
      <c r="B158" s="117" t="s">
        <v>297</v>
      </c>
      <c r="C158" s="117" t="s">
        <v>298</v>
      </c>
      <c r="D158" s="117" t="s">
        <v>312</v>
      </c>
      <c r="E158" s="117" t="s">
        <v>112</v>
      </c>
      <c r="F158" s="117" t="s">
        <v>299</v>
      </c>
      <c r="G158" s="117" t="s">
        <v>300</v>
      </c>
      <c r="H158" s="117" t="s">
        <v>95</v>
      </c>
      <c r="I158" s="117" t="s">
        <v>306</v>
      </c>
      <c r="J158" s="117" t="s">
        <v>302</v>
      </c>
      <c r="K158" s="117" t="s">
        <v>307</v>
      </c>
      <c r="L158" s="117" t="s">
        <v>96</v>
      </c>
      <c r="M158" s="117" t="s">
        <v>304</v>
      </c>
      <c r="N158" s="118">
        <v>177.49285</v>
      </c>
      <c r="O158" s="111">
        <f t="shared" si="2"/>
        <v>4.4373212500000001</v>
      </c>
    </row>
    <row r="159" spans="2:15">
      <c r="B159" s="117" t="s">
        <v>297</v>
      </c>
      <c r="C159" s="117" t="s">
        <v>298</v>
      </c>
      <c r="D159" s="117" t="s">
        <v>28</v>
      </c>
      <c r="E159" s="117" t="s">
        <v>67</v>
      </c>
      <c r="F159" s="117" t="s">
        <v>299</v>
      </c>
      <c r="G159" s="117" t="s">
        <v>305</v>
      </c>
      <c r="H159" s="117" t="s">
        <v>95</v>
      </c>
      <c r="I159" s="117" t="s">
        <v>301</v>
      </c>
      <c r="J159" s="117" t="s">
        <v>302</v>
      </c>
      <c r="K159" s="117" t="s">
        <v>303</v>
      </c>
      <c r="L159" s="117" t="s">
        <v>96</v>
      </c>
      <c r="M159" s="117" t="s">
        <v>304</v>
      </c>
      <c r="N159" s="118">
        <v>8.0204500000000003</v>
      </c>
      <c r="O159" s="111">
        <f t="shared" si="2"/>
        <v>2.3900941000000002</v>
      </c>
    </row>
    <row r="160" spans="2:15">
      <c r="B160" s="117" t="s">
        <v>297</v>
      </c>
      <c r="C160" s="117" t="s">
        <v>298</v>
      </c>
      <c r="D160" s="117" t="s">
        <v>27</v>
      </c>
      <c r="E160" s="117" t="s">
        <v>117</v>
      </c>
      <c r="F160" s="117" t="s">
        <v>299</v>
      </c>
      <c r="G160" s="117" t="s">
        <v>305</v>
      </c>
      <c r="H160" s="117" t="s">
        <v>106</v>
      </c>
      <c r="I160" s="117" t="s">
        <v>301</v>
      </c>
      <c r="J160" s="117" t="s">
        <v>302</v>
      </c>
      <c r="K160" s="117" t="s">
        <v>303</v>
      </c>
      <c r="L160" s="117" t="s">
        <v>96</v>
      </c>
      <c r="M160" s="117" t="s">
        <v>304</v>
      </c>
      <c r="N160" s="118">
        <v>0.60814000000000001</v>
      </c>
      <c r="O160" s="111">
        <f t="shared" ref="O160:O223" si="3">IF(G160="CH4",N160*25,N160*298)/1000</f>
        <v>0.18122572000000001</v>
      </c>
    </row>
    <row r="161" spans="2:15">
      <c r="B161" s="117" t="s">
        <v>297</v>
      </c>
      <c r="C161" s="117" t="s">
        <v>298</v>
      </c>
      <c r="D161" s="117" t="s">
        <v>27</v>
      </c>
      <c r="E161" s="117" t="s">
        <v>117</v>
      </c>
      <c r="F161" s="117" t="s">
        <v>299</v>
      </c>
      <c r="G161" s="117" t="s">
        <v>300</v>
      </c>
      <c r="H161" s="117" t="s">
        <v>95</v>
      </c>
      <c r="I161" s="117" t="s">
        <v>301</v>
      </c>
      <c r="J161" s="117" t="s">
        <v>302</v>
      </c>
      <c r="K161" s="117" t="s">
        <v>303</v>
      </c>
      <c r="L161" s="117" t="s">
        <v>96</v>
      </c>
      <c r="M161" s="117" t="s">
        <v>304</v>
      </c>
      <c r="N161" s="118">
        <v>17.908439999999999</v>
      </c>
      <c r="O161" s="111">
        <f t="shared" si="3"/>
        <v>0.44771099999999997</v>
      </c>
    </row>
    <row r="162" spans="2:15">
      <c r="B162" s="117" t="s">
        <v>297</v>
      </c>
      <c r="C162" s="117" t="s">
        <v>298</v>
      </c>
      <c r="D162" s="117" t="s">
        <v>27</v>
      </c>
      <c r="E162" s="117" t="s">
        <v>117</v>
      </c>
      <c r="F162" s="117" t="s">
        <v>299</v>
      </c>
      <c r="G162" s="117" t="s">
        <v>300</v>
      </c>
      <c r="H162" s="117" t="s">
        <v>101</v>
      </c>
      <c r="I162" s="117" t="s">
        <v>301</v>
      </c>
      <c r="J162" s="117" t="s">
        <v>302</v>
      </c>
      <c r="K162" s="117" t="s">
        <v>303</v>
      </c>
      <c r="L162" s="117" t="s">
        <v>96</v>
      </c>
      <c r="M162" s="117" t="s">
        <v>304</v>
      </c>
      <c r="N162" s="118">
        <v>19.193339999999999</v>
      </c>
      <c r="O162" s="111">
        <f t="shared" si="3"/>
        <v>0.47983349999999997</v>
      </c>
    </row>
    <row r="163" spans="2:15">
      <c r="B163" s="117" t="s">
        <v>297</v>
      </c>
      <c r="C163" s="117" t="s">
        <v>298</v>
      </c>
      <c r="D163" s="117" t="s">
        <v>27</v>
      </c>
      <c r="E163" s="117" t="s">
        <v>117</v>
      </c>
      <c r="F163" s="117" t="s">
        <v>299</v>
      </c>
      <c r="G163" s="117" t="s">
        <v>300</v>
      </c>
      <c r="H163" s="117" t="s">
        <v>101</v>
      </c>
      <c r="I163" s="117" t="s">
        <v>306</v>
      </c>
      <c r="J163" s="117" t="s">
        <v>302</v>
      </c>
      <c r="K163" s="117" t="s">
        <v>307</v>
      </c>
      <c r="L163" s="117" t="s">
        <v>96</v>
      </c>
      <c r="M163" s="117" t="s">
        <v>304</v>
      </c>
      <c r="N163" s="118">
        <v>3.3395700000000001</v>
      </c>
      <c r="O163" s="111">
        <f t="shared" si="3"/>
        <v>8.3489250000000001E-2</v>
      </c>
    </row>
    <row r="164" spans="2:15">
      <c r="B164" s="117" t="s">
        <v>297</v>
      </c>
      <c r="C164" s="117" t="s">
        <v>298</v>
      </c>
      <c r="D164" s="117" t="s">
        <v>312</v>
      </c>
      <c r="E164" s="117" t="s">
        <v>112</v>
      </c>
      <c r="F164" s="117" t="s">
        <v>299</v>
      </c>
      <c r="G164" s="117" t="s">
        <v>305</v>
      </c>
      <c r="H164" s="117" t="s">
        <v>101</v>
      </c>
      <c r="I164" s="117" t="s">
        <v>306</v>
      </c>
      <c r="J164" s="117" t="s">
        <v>302</v>
      </c>
      <c r="K164" s="117" t="s">
        <v>307</v>
      </c>
      <c r="L164" s="117" t="s">
        <v>96</v>
      </c>
      <c r="M164" s="117" t="s">
        <v>304</v>
      </c>
      <c r="N164" s="118">
        <v>1.1160600000000001</v>
      </c>
      <c r="O164" s="111">
        <f t="shared" si="3"/>
        <v>0.33258588000000006</v>
      </c>
    </row>
    <row r="165" spans="2:15">
      <c r="B165" s="117" t="s">
        <v>297</v>
      </c>
      <c r="C165" s="117" t="s">
        <v>298</v>
      </c>
      <c r="D165" s="117" t="s">
        <v>34</v>
      </c>
      <c r="E165" s="117" t="s">
        <v>62</v>
      </c>
      <c r="F165" s="117" t="s">
        <v>299</v>
      </c>
      <c r="G165" s="117" t="s">
        <v>300</v>
      </c>
      <c r="H165" s="117" t="s">
        <v>95</v>
      </c>
      <c r="I165" s="117" t="s">
        <v>301</v>
      </c>
      <c r="J165" s="117" t="s">
        <v>302</v>
      </c>
      <c r="K165" s="117" t="s">
        <v>303</v>
      </c>
      <c r="L165" s="117" t="s">
        <v>96</v>
      </c>
      <c r="M165" s="117" t="s">
        <v>304</v>
      </c>
      <c r="N165" s="118">
        <v>61.003160000000001</v>
      </c>
      <c r="O165" s="111">
        <f t="shared" si="3"/>
        <v>1.5250789999999999</v>
      </c>
    </row>
    <row r="166" spans="2:15">
      <c r="B166" s="117" t="s">
        <v>297</v>
      </c>
      <c r="C166" s="117" t="s">
        <v>298</v>
      </c>
      <c r="D166" s="117" t="s">
        <v>27</v>
      </c>
      <c r="E166" s="117" t="s">
        <v>117</v>
      </c>
      <c r="F166" s="117" t="s">
        <v>299</v>
      </c>
      <c r="G166" s="117" t="s">
        <v>305</v>
      </c>
      <c r="H166" s="117" t="s">
        <v>95</v>
      </c>
      <c r="I166" s="117" t="s">
        <v>301</v>
      </c>
      <c r="J166" s="117" t="s">
        <v>302</v>
      </c>
      <c r="K166" s="117" t="s">
        <v>303</v>
      </c>
      <c r="L166" s="117" t="s">
        <v>96</v>
      </c>
      <c r="M166" s="117" t="s">
        <v>304</v>
      </c>
      <c r="N166" s="118">
        <v>0.61817999999999995</v>
      </c>
      <c r="O166" s="111">
        <f t="shared" si="3"/>
        <v>0.18421763999999999</v>
      </c>
    </row>
    <row r="167" spans="2:15">
      <c r="B167" s="117" t="s">
        <v>297</v>
      </c>
      <c r="C167" s="117" t="s">
        <v>298</v>
      </c>
      <c r="D167" s="117" t="s">
        <v>26</v>
      </c>
      <c r="E167" s="117" t="s">
        <v>66</v>
      </c>
      <c r="F167" s="117" t="s">
        <v>299</v>
      </c>
      <c r="G167" s="117" t="s">
        <v>305</v>
      </c>
      <c r="H167" s="117" t="s">
        <v>95</v>
      </c>
      <c r="I167" s="117" t="s">
        <v>301</v>
      </c>
      <c r="J167" s="117" t="s">
        <v>302</v>
      </c>
      <c r="K167" s="117" t="s">
        <v>303</v>
      </c>
      <c r="L167" s="117" t="s">
        <v>96</v>
      </c>
      <c r="M167" s="117" t="s">
        <v>304</v>
      </c>
      <c r="N167" s="118">
        <v>4.6818099999999996</v>
      </c>
      <c r="O167" s="111">
        <f t="shared" si="3"/>
        <v>1.3951793799999999</v>
      </c>
    </row>
    <row r="168" spans="2:15">
      <c r="B168" s="117" t="s">
        <v>297</v>
      </c>
      <c r="C168" s="117" t="s">
        <v>298</v>
      </c>
      <c r="D168" s="117" t="s">
        <v>26</v>
      </c>
      <c r="E168" s="117" t="s">
        <v>66</v>
      </c>
      <c r="F168" s="117" t="s">
        <v>299</v>
      </c>
      <c r="G168" s="117" t="s">
        <v>305</v>
      </c>
      <c r="H168" s="117" t="s">
        <v>106</v>
      </c>
      <c r="I168" s="117" t="s">
        <v>301</v>
      </c>
      <c r="J168" s="117" t="s">
        <v>302</v>
      </c>
      <c r="K168" s="117" t="s">
        <v>303</v>
      </c>
      <c r="L168" s="117" t="s">
        <v>96</v>
      </c>
      <c r="M168" s="117" t="s">
        <v>304</v>
      </c>
      <c r="N168" s="118">
        <v>5.8863000000000003</v>
      </c>
      <c r="O168" s="111">
        <f t="shared" si="3"/>
        <v>1.7541174000000002</v>
      </c>
    </row>
    <row r="169" spans="2:15">
      <c r="B169" s="117" t="s">
        <v>297</v>
      </c>
      <c r="C169" s="117" t="s">
        <v>298</v>
      </c>
      <c r="D169" s="117" t="s">
        <v>27</v>
      </c>
      <c r="E169" s="117" t="s">
        <v>117</v>
      </c>
      <c r="F169" s="117" t="s">
        <v>299</v>
      </c>
      <c r="G169" s="117" t="s">
        <v>305</v>
      </c>
      <c r="H169" s="117" t="s">
        <v>101</v>
      </c>
      <c r="I169" s="117" t="s">
        <v>301</v>
      </c>
      <c r="J169" s="117" t="s">
        <v>302</v>
      </c>
      <c r="K169" s="117" t="s">
        <v>303</v>
      </c>
      <c r="L169" s="117" t="s">
        <v>96</v>
      </c>
      <c r="M169" s="117" t="s">
        <v>304</v>
      </c>
      <c r="N169" s="118">
        <v>0.61799000000000004</v>
      </c>
      <c r="O169" s="111">
        <f t="shared" si="3"/>
        <v>0.18416102000000001</v>
      </c>
    </row>
    <row r="170" spans="2:15">
      <c r="B170" s="117" t="s">
        <v>297</v>
      </c>
      <c r="C170" s="117" t="s">
        <v>298</v>
      </c>
      <c r="D170" s="117" t="s">
        <v>26</v>
      </c>
      <c r="E170" s="117" t="s">
        <v>66</v>
      </c>
      <c r="F170" s="117" t="s">
        <v>299</v>
      </c>
      <c r="G170" s="117" t="s">
        <v>305</v>
      </c>
      <c r="H170" s="117" t="s">
        <v>95</v>
      </c>
      <c r="I170" s="117" t="s">
        <v>306</v>
      </c>
      <c r="J170" s="117" t="s">
        <v>302</v>
      </c>
      <c r="K170" s="117" t="s">
        <v>307</v>
      </c>
      <c r="L170" s="117" t="s">
        <v>96</v>
      </c>
      <c r="M170" s="117" t="s">
        <v>304</v>
      </c>
      <c r="N170" s="118">
        <v>0.11957</v>
      </c>
      <c r="O170" s="111">
        <f t="shared" si="3"/>
        <v>3.5631859999999994E-2</v>
      </c>
    </row>
    <row r="171" spans="2:15">
      <c r="B171" s="117" t="s">
        <v>297</v>
      </c>
      <c r="C171" s="117" t="s">
        <v>298</v>
      </c>
      <c r="D171" s="117" t="s">
        <v>27</v>
      </c>
      <c r="E171" s="117" t="s">
        <v>117</v>
      </c>
      <c r="F171" s="117" t="s">
        <v>299</v>
      </c>
      <c r="G171" s="117" t="s">
        <v>305</v>
      </c>
      <c r="H171" s="117" t="s">
        <v>95</v>
      </c>
      <c r="I171" s="117" t="s">
        <v>306</v>
      </c>
      <c r="J171" s="117" t="s">
        <v>302</v>
      </c>
      <c r="K171" s="117" t="s">
        <v>307</v>
      </c>
      <c r="L171" s="117" t="s">
        <v>96</v>
      </c>
      <c r="M171" s="117" t="s">
        <v>304</v>
      </c>
      <c r="N171" s="118">
        <v>5.9909999999999998E-2</v>
      </c>
      <c r="O171" s="111">
        <f t="shared" si="3"/>
        <v>1.785318E-2</v>
      </c>
    </row>
    <row r="172" spans="2:15">
      <c r="B172" s="117" t="s">
        <v>297</v>
      </c>
      <c r="C172" s="117" t="s">
        <v>298</v>
      </c>
      <c r="D172" s="117" t="s">
        <v>27</v>
      </c>
      <c r="E172" s="117" t="s">
        <v>117</v>
      </c>
      <c r="F172" s="117" t="s">
        <v>299</v>
      </c>
      <c r="G172" s="117" t="s">
        <v>305</v>
      </c>
      <c r="H172" s="117" t="s">
        <v>106</v>
      </c>
      <c r="I172" s="117" t="s">
        <v>306</v>
      </c>
      <c r="J172" s="117" t="s">
        <v>302</v>
      </c>
      <c r="K172" s="117" t="s">
        <v>307</v>
      </c>
      <c r="L172" s="117" t="s">
        <v>96</v>
      </c>
      <c r="M172" s="117" t="s">
        <v>304</v>
      </c>
      <c r="N172" s="118">
        <v>5.2200000000000003E-2</v>
      </c>
      <c r="O172" s="111">
        <f t="shared" si="3"/>
        <v>1.5555600000000001E-2</v>
      </c>
    </row>
    <row r="173" spans="2:15">
      <c r="B173" s="117" t="s">
        <v>297</v>
      </c>
      <c r="C173" s="117" t="s">
        <v>298</v>
      </c>
      <c r="D173" s="117" t="s">
        <v>26</v>
      </c>
      <c r="E173" s="117" t="s">
        <v>66</v>
      </c>
      <c r="F173" s="117" t="s">
        <v>299</v>
      </c>
      <c r="G173" s="117" t="s">
        <v>300</v>
      </c>
      <c r="H173" s="117" t="s">
        <v>95</v>
      </c>
      <c r="I173" s="117" t="s">
        <v>301</v>
      </c>
      <c r="J173" s="117" t="s">
        <v>302</v>
      </c>
      <c r="K173" s="117" t="s">
        <v>303</v>
      </c>
      <c r="L173" s="117" t="s">
        <v>96</v>
      </c>
      <c r="M173" s="117" t="s">
        <v>304</v>
      </c>
      <c r="N173" s="118">
        <v>33.905839999999998</v>
      </c>
      <c r="O173" s="111">
        <f t="shared" si="3"/>
        <v>0.84764600000000001</v>
      </c>
    </row>
    <row r="174" spans="2:15">
      <c r="B174" s="117" t="s">
        <v>297</v>
      </c>
      <c r="C174" s="117" t="s">
        <v>298</v>
      </c>
      <c r="D174" s="117" t="s">
        <v>23</v>
      </c>
      <c r="E174" s="117" t="s">
        <v>118</v>
      </c>
      <c r="F174" s="117" t="s">
        <v>299</v>
      </c>
      <c r="G174" s="117" t="s">
        <v>300</v>
      </c>
      <c r="H174" s="117" t="s">
        <v>95</v>
      </c>
      <c r="I174" s="117" t="s">
        <v>301</v>
      </c>
      <c r="J174" s="117" t="s">
        <v>302</v>
      </c>
      <c r="K174" s="117" t="s">
        <v>303</v>
      </c>
      <c r="L174" s="117" t="s">
        <v>96</v>
      </c>
      <c r="M174" s="117" t="s">
        <v>304</v>
      </c>
      <c r="N174" s="118">
        <v>1.6648099999999999</v>
      </c>
      <c r="O174" s="111">
        <f t="shared" si="3"/>
        <v>4.1620249999999998E-2</v>
      </c>
    </row>
    <row r="175" spans="2:15">
      <c r="B175" s="117" t="s">
        <v>297</v>
      </c>
      <c r="C175" s="117" t="s">
        <v>298</v>
      </c>
      <c r="D175" s="117" t="s">
        <v>33</v>
      </c>
      <c r="E175" s="117" t="s">
        <v>65</v>
      </c>
      <c r="F175" s="117" t="s">
        <v>299</v>
      </c>
      <c r="G175" s="117" t="s">
        <v>300</v>
      </c>
      <c r="H175" s="117" t="s">
        <v>95</v>
      </c>
      <c r="I175" s="117" t="s">
        <v>301</v>
      </c>
      <c r="J175" s="117" t="s">
        <v>302</v>
      </c>
      <c r="K175" s="117" t="s">
        <v>303</v>
      </c>
      <c r="L175" s="117" t="s">
        <v>96</v>
      </c>
      <c r="M175" s="117" t="s">
        <v>304</v>
      </c>
      <c r="N175" s="118">
        <v>104.95591</v>
      </c>
      <c r="O175" s="111">
        <f t="shared" si="3"/>
        <v>2.6238977500000003</v>
      </c>
    </row>
    <row r="176" spans="2:15">
      <c r="B176" s="117" t="s">
        <v>297</v>
      </c>
      <c r="C176" s="117" t="s">
        <v>298</v>
      </c>
      <c r="D176" s="117" t="s">
        <v>33</v>
      </c>
      <c r="E176" s="117" t="s">
        <v>65</v>
      </c>
      <c r="F176" s="117" t="s">
        <v>299</v>
      </c>
      <c r="G176" s="117" t="s">
        <v>300</v>
      </c>
      <c r="H176" s="117" t="s">
        <v>101</v>
      </c>
      <c r="I176" s="117" t="s">
        <v>301</v>
      </c>
      <c r="J176" s="117" t="s">
        <v>302</v>
      </c>
      <c r="K176" s="117" t="s">
        <v>303</v>
      </c>
      <c r="L176" s="117" t="s">
        <v>96</v>
      </c>
      <c r="M176" s="117" t="s">
        <v>304</v>
      </c>
      <c r="N176" s="118">
        <v>97.40513</v>
      </c>
      <c r="O176" s="111">
        <f t="shared" si="3"/>
        <v>2.43512825</v>
      </c>
    </row>
    <row r="177" spans="2:15">
      <c r="B177" s="117" t="s">
        <v>297</v>
      </c>
      <c r="C177" s="117" t="s">
        <v>298</v>
      </c>
      <c r="D177" s="117" t="s">
        <v>26</v>
      </c>
      <c r="E177" s="117" t="s">
        <v>66</v>
      </c>
      <c r="F177" s="117" t="s">
        <v>299</v>
      </c>
      <c r="G177" s="117" t="s">
        <v>300</v>
      </c>
      <c r="H177" s="117" t="s">
        <v>95</v>
      </c>
      <c r="I177" s="117" t="s">
        <v>306</v>
      </c>
      <c r="J177" s="117" t="s">
        <v>302</v>
      </c>
      <c r="K177" s="117" t="s">
        <v>307</v>
      </c>
      <c r="L177" s="117" t="s">
        <v>96</v>
      </c>
      <c r="M177" s="117" t="s">
        <v>304</v>
      </c>
      <c r="N177" s="118">
        <v>26.90897</v>
      </c>
      <c r="O177" s="111">
        <f t="shared" si="3"/>
        <v>0.67272425000000002</v>
      </c>
    </row>
    <row r="178" spans="2:15">
      <c r="B178" s="117" t="s">
        <v>297</v>
      </c>
      <c r="C178" s="117" t="s">
        <v>298</v>
      </c>
      <c r="D178" s="117" t="s">
        <v>26</v>
      </c>
      <c r="E178" s="117" t="s">
        <v>66</v>
      </c>
      <c r="F178" s="117" t="s">
        <v>299</v>
      </c>
      <c r="G178" s="117" t="s">
        <v>300</v>
      </c>
      <c r="H178" s="117" t="s">
        <v>106</v>
      </c>
      <c r="I178" s="117" t="s">
        <v>306</v>
      </c>
      <c r="J178" s="117" t="s">
        <v>302</v>
      </c>
      <c r="K178" s="117" t="s">
        <v>307</v>
      </c>
      <c r="L178" s="117" t="s">
        <v>96</v>
      </c>
      <c r="M178" s="117" t="s">
        <v>304</v>
      </c>
      <c r="N178" s="118">
        <v>25.918040000000001</v>
      </c>
      <c r="O178" s="111">
        <f t="shared" si="3"/>
        <v>0.64795100000000005</v>
      </c>
    </row>
    <row r="179" spans="2:15">
      <c r="B179" s="117" t="s">
        <v>297</v>
      </c>
      <c r="C179" s="117" t="s">
        <v>298</v>
      </c>
      <c r="D179" s="117" t="s">
        <v>23</v>
      </c>
      <c r="E179" s="117" t="s">
        <v>118</v>
      </c>
      <c r="F179" s="117" t="s">
        <v>299</v>
      </c>
      <c r="G179" s="117" t="s">
        <v>305</v>
      </c>
      <c r="H179" s="117" t="s">
        <v>106</v>
      </c>
      <c r="I179" s="117" t="s">
        <v>306</v>
      </c>
      <c r="J179" s="117" t="s">
        <v>302</v>
      </c>
      <c r="K179" s="117" t="s">
        <v>307</v>
      </c>
      <c r="L179" s="117" t="s">
        <v>96</v>
      </c>
      <c r="M179" s="117" t="s">
        <v>304</v>
      </c>
      <c r="N179" s="118">
        <v>1.932E-2</v>
      </c>
      <c r="O179" s="111">
        <f t="shared" si="3"/>
        <v>5.7573600000000004E-3</v>
      </c>
    </row>
    <row r="180" spans="2:15">
      <c r="B180" s="117" t="s">
        <v>297</v>
      </c>
      <c r="C180" s="117" t="s">
        <v>298</v>
      </c>
      <c r="D180" s="117" t="s">
        <v>22</v>
      </c>
      <c r="E180" s="117" t="s">
        <v>119</v>
      </c>
      <c r="F180" s="117" t="s">
        <v>299</v>
      </c>
      <c r="G180" s="117" t="s">
        <v>300</v>
      </c>
      <c r="H180" s="117" t="s">
        <v>101</v>
      </c>
      <c r="I180" s="117" t="s">
        <v>301</v>
      </c>
      <c r="J180" s="117" t="s">
        <v>302</v>
      </c>
      <c r="K180" s="117" t="s">
        <v>303</v>
      </c>
      <c r="L180" s="117" t="s">
        <v>96</v>
      </c>
      <c r="M180" s="117" t="s">
        <v>304</v>
      </c>
      <c r="N180" s="118">
        <v>493.61946999999998</v>
      </c>
      <c r="O180" s="111">
        <f t="shared" si="3"/>
        <v>12.34048675</v>
      </c>
    </row>
    <row r="181" spans="2:15">
      <c r="B181" s="117" t="s">
        <v>297</v>
      </c>
      <c r="C181" s="117" t="s">
        <v>298</v>
      </c>
      <c r="D181" s="117" t="s">
        <v>32</v>
      </c>
      <c r="E181" s="117" t="s">
        <v>111</v>
      </c>
      <c r="F181" s="117" t="s">
        <v>299</v>
      </c>
      <c r="G181" s="117" t="s">
        <v>300</v>
      </c>
      <c r="H181" s="117" t="s">
        <v>106</v>
      </c>
      <c r="I181" s="117" t="s">
        <v>301</v>
      </c>
      <c r="J181" s="117" t="s">
        <v>302</v>
      </c>
      <c r="K181" s="117" t="s">
        <v>303</v>
      </c>
      <c r="L181" s="117" t="s">
        <v>96</v>
      </c>
      <c r="M181" s="117" t="s">
        <v>304</v>
      </c>
      <c r="N181" s="118">
        <v>488.84161</v>
      </c>
      <c r="O181" s="111">
        <f t="shared" si="3"/>
        <v>12.22104025</v>
      </c>
    </row>
    <row r="182" spans="2:15">
      <c r="B182" s="117" t="s">
        <v>297</v>
      </c>
      <c r="C182" s="117" t="s">
        <v>298</v>
      </c>
      <c r="D182" s="117" t="s">
        <v>23</v>
      </c>
      <c r="E182" s="117" t="s">
        <v>118</v>
      </c>
      <c r="F182" s="117" t="s">
        <v>299</v>
      </c>
      <c r="G182" s="117" t="s">
        <v>300</v>
      </c>
      <c r="H182" s="117" t="s">
        <v>95</v>
      </c>
      <c r="I182" s="117" t="s">
        <v>306</v>
      </c>
      <c r="J182" s="117" t="s">
        <v>302</v>
      </c>
      <c r="K182" s="117" t="s">
        <v>307</v>
      </c>
      <c r="L182" s="117" t="s">
        <v>96</v>
      </c>
      <c r="M182" s="117" t="s">
        <v>304</v>
      </c>
      <c r="N182" s="118">
        <v>6.6538599999999999</v>
      </c>
      <c r="O182" s="111">
        <f t="shared" si="3"/>
        <v>0.16634649999999998</v>
      </c>
    </row>
    <row r="183" spans="2:15">
      <c r="B183" s="117" t="s">
        <v>297</v>
      </c>
      <c r="C183" s="117" t="s">
        <v>298</v>
      </c>
      <c r="D183" s="117" t="s">
        <v>23</v>
      </c>
      <c r="E183" s="117" t="s">
        <v>118</v>
      </c>
      <c r="F183" s="117" t="s">
        <v>299</v>
      </c>
      <c r="G183" s="117" t="s">
        <v>305</v>
      </c>
      <c r="H183" s="117" t="s">
        <v>101</v>
      </c>
      <c r="I183" s="117" t="s">
        <v>301</v>
      </c>
      <c r="J183" s="117" t="s">
        <v>302</v>
      </c>
      <c r="K183" s="117" t="s">
        <v>303</v>
      </c>
      <c r="L183" s="117" t="s">
        <v>96</v>
      </c>
      <c r="M183" s="117" t="s">
        <v>304</v>
      </c>
      <c r="N183" s="118">
        <v>0.10752</v>
      </c>
      <c r="O183" s="111">
        <f t="shared" si="3"/>
        <v>3.204096E-2</v>
      </c>
    </row>
    <row r="184" spans="2:15">
      <c r="B184" s="117" t="s">
        <v>297</v>
      </c>
      <c r="C184" s="117" t="s">
        <v>298</v>
      </c>
      <c r="D184" s="117" t="s">
        <v>23</v>
      </c>
      <c r="E184" s="117" t="s">
        <v>118</v>
      </c>
      <c r="F184" s="117" t="s">
        <v>299</v>
      </c>
      <c r="G184" s="117" t="s">
        <v>305</v>
      </c>
      <c r="H184" s="117" t="s">
        <v>101</v>
      </c>
      <c r="I184" s="117" t="s">
        <v>306</v>
      </c>
      <c r="J184" s="117" t="s">
        <v>302</v>
      </c>
      <c r="K184" s="117" t="s">
        <v>307</v>
      </c>
      <c r="L184" s="117" t="s">
        <v>96</v>
      </c>
      <c r="M184" s="117" t="s">
        <v>304</v>
      </c>
      <c r="N184" s="118">
        <v>3.5959999999999999E-2</v>
      </c>
      <c r="O184" s="111">
        <f t="shared" si="3"/>
        <v>1.0716079999999999E-2</v>
      </c>
    </row>
    <row r="185" spans="2:15">
      <c r="B185" s="117" t="s">
        <v>297</v>
      </c>
      <c r="C185" s="117" t="s">
        <v>298</v>
      </c>
      <c r="D185" s="117" t="s">
        <v>23</v>
      </c>
      <c r="E185" s="117" t="s">
        <v>118</v>
      </c>
      <c r="F185" s="117" t="s">
        <v>299</v>
      </c>
      <c r="G185" s="117" t="s">
        <v>305</v>
      </c>
      <c r="H185" s="117" t="s">
        <v>106</v>
      </c>
      <c r="I185" s="117" t="s">
        <v>301</v>
      </c>
      <c r="J185" s="117" t="s">
        <v>302</v>
      </c>
      <c r="K185" s="117" t="s">
        <v>303</v>
      </c>
      <c r="L185" s="117" t="s">
        <v>96</v>
      </c>
      <c r="M185" s="117" t="s">
        <v>304</v>
      </c>
      <c r="N185" s="118">
        <v>0.10374</v>
      </c>
      <c r="O185" s="111">
        <f t="shared" si="3"/>
        <v>3.0914520000000001E-2</v>
      </c>
    </row>
    <row r="186" spans="2:15">
      <c r="B186" s="117" t="s">
        <v>297</v>
      </c>
      <c r="C186" s="117" t="s">
        <v>298</v>
      </c>
      <c r="D186" s="117" t="s">
        <v>21</v>
      </c>
      <c r="E186" s="117" t="s">
        <v>126</v>
      </c>
      <c r="F186" s="117" t="s">
        <v>299</v>
      </c>
      <c r="G186" s="117" t="s">
        <v>300</v>
      </c>
      <c r="H186" s="117" t="s">
        <v>101</v>
      </c>
      <c r="I186" s="117" t="s">
        <v>301</v>
      </c>
      <c r="J186" s="117" t="s">
        <v>302</v>
      </c>
      <c r="K186" s="117" t="s">
        <v>303</v>
      </c>
      <c r="L186" s="117" t="s">
        <v>96</v>
      </c>
      <c r="M186" s="117" t="s">
        <v>304</v>
      </c>
      <c r="N186" s="118">
        <v>102.193</v>
      </c>
      <c r="O186" s="111">
        <f t="shared" si="3"/>
        <v>2.5548249999999997</v>
      </c>
    </row>
    <row r="187" spans="2:15">
      <c r="B187" s="117" t="s">
        <v>297</v>
      </c>
      <c r="C187" s="117" t="s">
        <v>298</v>
      </c>
      <c r="D187" s="117" t="s">
        <v>21</v>
      </c>
      <c r="E187" s="117" t="s">
        <v>126</v>
      </c>
      <c r="F187" s="117" t="s">
        <v>299</v>
      </c>
      <c r="G187" s="117" t="s">
        <v>300</v>
      </c>
      <c r="H187" s="117" t="s">
        <v>106</v>
      </c>
      <c r="I187" s="117" t="s">
        <v>301</v>
      </c>
      <c r="J187" s="117" t="s">
        <v>302</v>
      </c>
      <c r="K187" s="117" t="s">
        <v>303</v>
      </c>
      <c r="L187" s="117" t="s">
        <v>96</v>
      </c>
      <c r="M187" s="117" t="s">
        <v>304</v>
      </c>
      <c r="N187" s="118">
        <v>103.15755</v>
      </c>
      <c r="O187" s="111">
        <f t="shared" si="3"/>
        <v>2.5789387499999998</v>
      </c>
    </row>
    <row r="188" spans="2:15">
      <c r="B188" s="117" t="s">
        <v>297</v>
      </c>
      <c r="C188" s="117" t="s">
        <v>298</v>
      </c>
      <c r="D188" s="117" t="s">
        <v>22</v>
      </c>
      <c r="E188" s="117" t="s">
        <v>119</v>
      </c>
      <c r="F188" s="117" t="s">
        <v>299</v>
      </c>
      <c r="G188" s="117" t="s">
        <v>300</v>
      </c>
      <c r="H188" s="117" t="s">
        <v>101</v>
      </c>
      <c r="I188" s="117" t="s">
        <v>306</v>
      </c>
      <c r="J188" s="117" t="s">
        <v>302</v>
      </c>
      <c r="K188" s="117" t="s">
        <v>307</v>
      </c>
      <c r="L188" s="117" t="s">
        <v>96</v>
      </c>
      <c r="M188" s="117" t="s">
        <v>304</v>
      </c>
      <c r="N188" s="118">
        <v>173.86219</v>
      </c>
      <c r="O188" s="111">
        <f t="shared" si="3"/>
        <v>4.3465547500000001</v>
      </c>
    </row>
    <row r="189" spans="2:15">
      <c r="B189" s="117" t="s">
        <v>297</v>
      </c>
      <c r="C189" s="117" t="s">
        <v>298</v>
      </c>
      <c r="D189" s="117" t="s">
        <v>22</v>
      </c>
      <c r="E189" s="117" t="s">
        <v>119</v>
      </c>
      <c r="F189" s="117" t="s">
        <v>299</v>
      </c>
      <c r="G189" s="117" t="s">
        <v>305</v>
      </c>
      <c r="H189" s="117" t="s">
        <v>95</v>
      </c>
      <c r="I189" s="117" t="s">
        <v>301</v>
      </c>
      <c r="J189" s="117" t="s">
        <v>302</v>
      </c>
      <c r="K189" s="117" t="s">
        <v>303</v>
      </c>
      <c r="L189" s="117" t="s">
        <v>96</v>
      </c>
      <c r="M189" s="117" t="s">
        <v>304</v>
      </c>
      <c r="N189" s="118">
        <v>23.16235</v>
      </c>
      <c r="O189" s="111">
        <f t="shared" si="3"/>
        <v>6.9023802999999999</v>
      </c>
    </row>
    <row r="190" spans="2:15">
      <c r="B190" s="117" t="s">
        <v>297</v>
      </c>
      <c r="C190" s="117" t="s">
        <v>298</v>
      </c>
      <c r="D190" s="117" t="s">
        <v>22</v>
      </c>
      <c r="E190" s="117" t="s">
        <v>119</v>
      </c>
      <c r="F190" s="117" t="s">
        <v>299</v>
      </c>
      <c r="G190" s="117" t="s">
        <v>305</v>
      </c>
      <c r="H190" s="117" t="s">
        <v>101</v>
      </c>
      <c r="I190" s="117" t="s">
        <v>301</v>
      </c>
      <c r="J190" s="117" t="s">
        <v>302</v>
      </c>
      <c r="K190" s="117" t="s">
        <v>303</v>
      </c>
      <c r="L190" s="117" t="s">
        <v>96</v>
      </c>
      <c r="M190" s="117" t="s">
        <v>304</v>
      </c>
      <c r="N190" s="118">
        <v>20.453379999999999</v>
      </c>
      <c r="O190" s="111">
        <f t="shared" si="3"/>
        <v>6.095107239999999</v>
      </c>
    </row>
    <row r="191" spans="2:15">
      <c r="B191" s="117" t="s">
        <v>297</v>
      </c>
      <c r="C191" s="117" t="s">
        <v>298</v>
      </c>
      <c r="D191" s="117" t="s">
        <v>22</v>
      </c>
      <c r="E191" s="117" t="s">
        <v>119</v>
      </c>
      <c r="F191" s="117" t="s">
        <v>299</v>
      </c>
      <c r="G191" s="117" t="s">
        <v>305</v>
      </c>
      <c r="H191" s="117" t="s">
        <v>106</v>
      </c>
      <c r="I191" s="117" t="s">
        <v>306</v>
      </c>
      <c r="J191" s="117" t="s">
        <v>302</v>
      </c>
      <c r="K191" s="117" t="s">
        <v>307</v>
      </c>
      <c r="L191" s="117" t="s">
        <v>96</v>
      </c>
      <c r="M191" s="117" t="s">
        <v>304</v>
      </c>
      <c r="N191" s="118">
        <v>0.49852999999999997</v>
      </c>
      <c r="O191" s="111">
        <f t="shared" si="3"/>
        <v>0.14856194</v>
      </c>
    </row>
    <row r="192" spans="2:15">
      <c r="B192" s="117" t="s">
        <v>297</v>
      </c>
      <c r="C192" s="117" t="s">
        <v>298</v>
      </c>
      <c r="D192" s="117" t="s">
        <v>21</v>
      </c>
      <c r="E192" s="117" t="s">
        <v>126</v>
      </c>
      <c r="F192" s="117" t="s">
        <v>299</v>
      </c>
      <c r="G192" s="117" t="s">
        <v>305</v>
      </c>
      <c r="H192" s="117" t="s">
        <v>101</v>
      </c>
      <c r="I192" s="117" t="s">
        <v>301</v>
      </c>
      <c r="J192" s="117" t="s">
        <v>302</v>
      </c>
      <c r="K192" s="117" t="s">
        <v>303</v>
      </c>
      <c r="L192" s="117" t="s">
        <v>96</v>
      </c>
      <c r="M192" s="117" t="s">
        <v>304</v>
      </c>
      <c r="N192" s="118">
        <v>5.9096200000000003</v>
      </c>
      <c r="O192" s="111">
        <f t="shared" si="3"/>
        <v>1.7610667600000001</v>
      </c>
    </row>
    <row r="193" spans="2:15">
      <c r="B193" s="117" t="s">
        <v>297</v>
      </c>
      <c r="C193" s="117" t="s">
        <v>298</v>
      </c>
      <c r="D193" s="117" t="s">
        <v>31</v>
      </c>
      <c r="E193" s="117" t="s">
        <v>124</v>
      </c>
      <c r="F193" s="117" t="s">
        <v>299</v>
      </c>
      <c r="G193" s="117" t="s">
        <v>305</v>
      </c>
      <c r="H193" s="117" t="s">
        <v>95</v>
      </c>
      <c r="I193" s="117" t="s">
        <v>301</v>
      </c>
      <c r="J193" s="117" t="s">
        <v>302</v>
      </c>
      <c r="K193" s="117" t="s">
        <v>303</v>
      </c>
      <c r="L193" s="117" t="s">
        <v>96</v>
      </c>
      <c r="M193" s="117" t="s">
        <v>304</v>
      </c>
      <c r="N193" s="118">
        <v>0.8054</v>
      </c>
      <c r="O193" s="111">
        <f t="shared" si="3"/>
        <v>0.24000920000000001</v>
      </c>
    </row>
    <row r="194" spans="2:15">
      <c r="B194" s="117" t="s">
        <v>297</v>
      </c>
      <c r="C194" s="117" t="s">
        <v>298</v>
      </c>
      <c r="D194" s="117" t="s">
        <v>22</v>
      </c>
      <c r="E194" s="117" t="s">
        <v>119</v>
      </c>
      <c r="F194" s="117" t="s">
        <v>299</v>
      </c>
      <c r="G194" s="117" t="s">
        <v>305</v>
      </c>
      <c r="H194" s="117" t="s">
        <v>106</v>
      </c>
      <c r="I194" s="117" t="s">
        <v>301</v>
      </c>
      <c r="J194" s="117" t="s">
        <v>302</v>
      </c>
      <c r="K194" s="117" t="s">
        <v>303</v>
      </c>
      <c r="L194" s="117" t="s">
        <v>96</v>
      </c>
      <c r="M194" s="117" t="s">
        <v>304</v>
      </c>
      <c r="N194" s="118">
        <v>20.616029999999999</v>
      </c>
      <c r="O194" s="111">
        <f t="shared" si="3"/>
        <v>6.14357694</v>
      </c>
    </row>
    <row r="195" spans="2:15">
      <c r="B195" s="117" t="s">
        <v>297</v>
      </c>
      <c r="C195" s="117" t="s">
        <v>298</v>
      </c>
      <c r="D195" s="117" t="s">
        <v>21</v>
      </c>
      <c r="E195" s="117" t="s">
        <v>126</v>
      </c>
      <c r="F195" s="117" t="s">
        <v>299</v>
      </c>
      <c r="G195" s="117" t="s">
        <v>300</v>
      </c>
      <c r="H195" s="117" t="s">
        <v>106</v>
      </c>
      <c r="I195" s="117" t="s">
        <v>306</v>
      </c>
      <c r="J195" s="117" t="s">
        <v>302</v>
      </c>
      <c r="K195" s="117" t="s">
        <v>307</v>
      </c>
      <c r="L195" s="117" t="s">
        <v>96</v>
      </c>
      <c r="M195" s="117" t="s">
        <v>304</v>
      </c>
      <c r="N195" s="118">
        <v>47.320010000000003</v>
      </c>
      <c r="O195" s="111">
        <f t="shared" si="3"/>
        <v>1.1830002500000001</v>
      </c>
    </row>
    <row r="196" spans="2:15">
      <c r="B196" s="117" t="s">
        <v>297</v>
      </c>
      <c r="C196" s="117" t="s">
        <v>298</v>
      </c>
      <c r="D196" s="117" t="s">
        <v>20</v>
      </c>
      <c r="E196" s="117" t="s">
        <v>68</v>
      </c>
      <c r="F196" s="117" t="s">
        <v>299</v>
      </c>
      <c r="G196" s="117" t="s">
        <v>300</v>
      </c>
      <c r="H196" s="117" t="s">
        <v>95</v>
      </c>
      <c r="I196" s="117" t="s">
        <v>301</v>
      </c>
      <c r="J196" s="117" t="s">
        <v>302</v>
      </c>
      <c r="K196" s="117" t="s">
        <v>303</v>
      </c>
      <c r="L196" s="117" t="s">
        <v>96</v>
      </c>
      <c r="M196" s="117" t="s">
        <v>304</v>
      </c>
      <c r="N196" s="118">
        <v>547.47848999999997</v>
      </c>
      <c r="O196" s="111">
        <f t="shared" si="3"/>
        <v>13.686962249999999</v>
      </c>
    </row>
    <row r="197" spans="2:15">
      <c r="B197" s="117" t="s">
        <v>297</v>
      </c>
      <c r="C197" s="117" t="s">
        <v>298</v>
      </c>
      <c r="D197" s="117" t="s">
        <v>20</v>
      </c>
      <c r="E197" s="117" t="s">
        <v>68</v>
      </c>
      <c r="F197" s="117" t="s">
        <v>299</v>
      </c>
      <c r="G197" s="117" t="s">
        <v>300</v>
      </c>
      <c r="H197" s="117" t="s">
        <v>101</v>
      </c>
      <c r="I197" s="117" t="s">
        <v>301</v>
      </c>
      <c r="J197" s="117" t="s">
        <v>302</v>
      </c>
      <c r="K197" s="117" t="s">
        <v>303</v>
      </c>
      <c r="L197" s="117" t="s">
        <v>96</v>
      </c>
      <c r="M197" s="117" t="s">
        <v>304</v>
      </c>
      <c r="N197" s="118">
        <v>550.69520999999997</v>
      </c>
      <c r="O197" s="111">
        <f t="shared" si="3"/>
        <v>13.76738025</v>
      </c>
    </row>
    <row r="198" spans="2:15">
      <c r="B198" s="117" t="s">
        <v>297</v>
      </c>
      <c r="C198" s="117" t="s">
        <v>298</v>
      </c>
      <c r="D198" s="117" t="s">
        <v>30</v>
      </c>
      <c r="E198" s="117" t="s">
        <v>115</v>
      </c>
      <c r="F198" s="117" t="s">
        <v>299</v>
      </c>
      <c r="G198" s="117" t="s">
        <v>300</v>
      </c>
      <c r="H198" s="117" t="s">
        <v>95</v>
      </c>
      <c r="I198" s="117" t="s">
        <v>301</v>
      </c>
      <c r="J198" s="117" t="s">
        <v>302</v>
      </c>
      <c r="K198" s="117" t="s">
        <v>303</v>
      </c>
      <c r="L198" s="117" t="s">
        <v>96</v>
      </c>
      <c r="M198" s="117" t="s">
        <v>304</v>
      </c>
      <c r="N198" s="118">
        <v>767.05943000000002</v>
      </c>
      <c r="O198" s="111">
        <f t="shared" si="3"/>
        <v>19.176485750000001</v>
      </c>
    </row>
    <row r="199" spans="2:15">
      <c r="B199" s="117" t="s">
        <v>297</v>
      </c>
      <c r="C199" s="117" t="s">
        <v>298</v>
      </c>
      <c r="D199" s="117" t="s">
        <v>21</v>
      </c>
      <c r="E199" s="117" t="s">
        <v>126</v>
      </c>
      <c r="F199" s="117" t="s">
        <v>299</v>
      </c>
      <c r="G199" s="117" t="s">
        <v>300</v>
      </c>
      <c r="H199" s="117" t="s">
        <v>95</v>
      </c>
      <c r="I199" s="117" t="s">
        <v>301</v>
      </c>
      <c r="J199" s="117" t="s">
        <v>302</v>
      </c>
      <c r="K199" s="117" t="s">
        <v>303</v>
      </c>
      <c r="L199" s="117" t="s">
        <v>96</v>
      </c>
      <c r="M199" s="117" t="s">
        <v>304</v>
      </c>
      <c r="N199" s="118">
        <v>104.11056000000001</v>
      </c>
      <c r="O199" s="111">
        <f t="shared" si="3"/>
        <v>2.6027640000000001</v>
      </c>
    </row>
    <row r="200" spans="2:15">
      <c r="B200" s="117" t="s">
        <v>297</v>
      </c>
      <c r="C200" s="117" t="s">
        <v>298</v>
      </c>
      <c r="D200" s="117" t="s">
        <v>20</v>
      </c>
      <c r="E200" s="117" t="s">
        <v>68</v>
      </c>
      <c r="F200" s="117" t="s">
        <v>299</v>
      </c>
      <c r="G200" s="117" t="s">
        <v>300</v>
      </c>
      <c r="H200" s="117" t="s">
        <v>95</v>
      </c>
      <c r="I200" s="117" t="s">
        <v>306</v>
      </c>
      <c r="J200" s="117" t="s">
        <v>302</v>
      </c>
      <c r="K200" s="117" t="s">
        <v>307</v>
      </c>
      <c r="L200" s="117" t="s">
        <v>96</v>
      </c>
      <c r="M200" s="117" t="s">
        <v>304</v>
      </c>
      <c r="N200" s="118">
        <v>504.33416999999997</v>
      </c>
      <c r="O200" s="111">
        <f t="shared" si="3"/>
        <v>12.608354249999998</v>
      </c>
    </row>
    <row r="201" spans="2:15">
      <c r="B201" s="117" t="s">
        <v>297</v>
      </c>
      <c r="C201" s="117" t="s">
        <v>298</v>
      </c>
      <c r="D201" s="117" t="s">
        <v>30</v>
      </c>
      <c r="E201" s="117" t="s">
        <v>115</v>
      </c>
      <c r="F201" s="117" t="s">
        <v>299</v>
      </c>
      <c r="G201" s="117" t="s">
        <v>300</v>
      </c>
      <c r="H201" s="117" t="s">
        <v>95</v>
      </c>
      <c r="I201" s="117" t="s">
        <v>306</v>
      </c>
      <c r="J201" s="117" t="s">
        <v>302</v>
      </c>
      <c r="K201" s="117" t="s">
        <v>307</v>
      </c>
      <c r="L201" s="117" t="s">
        <v>96</v>
      </c>
      <c r="M201" s="117" t="s">
        <v>304</v>
      </c>
      <c r="N201" s="118">
        <v>903.93379000000004</v>
      </c>
      <c r="O201" s="111">
        <f t="shared" si="3"/>
        <v>22.598344749999999</v>
      </c>
    </row>
    <row r="202" spans="2:15">
      <c r="B202" s="117" t="s">
        <v>297</v>
      </c>
      <c r="C202" s="117" t="s">
        <v>298</v>
      </c>
      <c r="D202" s="117" t="s">
        <v>30</v>
      </c>
      <c r="E202" s="117" t="s">
        <v>115</v>
      </c>
      <c r="F202" s="117" t="s">
        <v>299</v>
      </c>
      <c r="G202" s="117" t="s">
        <v>305</v>
      </c>
      <c r="H202" s="117" t="s">
        <v>106</v>
      </c>
      <c r="I202" s="117" t="s">
        <v>301</v>
      </c>
      <c r="J202" s="117" t="s">
        <v>302</v>
      </c>
      <c r="K202" s="117" t="s">
        <v>303</v>
      </c>
      <c r="L202" s="117" t="s">
        <v>96</v>
      </c>
      <c r="M202" s="117" t="s">
        <v>304</v>
      </c>
      <c r="N202" s="118">
        <v>37.159399999999998</v>
      </c>
      <c r="O202" s="111">
        <f t="shared" si="3"/>
        <v>11.073501199999999</v>
      </c>
    </row>
    <row r="203" spans="2:15">
      <c r="B203" s="117" t="s">
        <v>297</v>
      </c>
      <c r="C203" s="117" t="s">
        <v>298</v>
      </c>
      <c r="D203" s="117" t="s">
        <v>20</v>
      </c>
      <c r="E203" s="117" t="s">
        <v>68</v>
      </c>
      <c r="F203" s="117" t="s">
        <v>299</v>
      </c>
      <c r="G203" s="117" t="s">
        <v>305</v>
      </c>
      <c r="H203" s="117" t="s">
        <v>101</v>
      </c>
      <c r="I203" s="117" t="s">
        <v>301</v>
      </c>
      <c r="J203" s="117" t="s">
        <v>302</v>
      </c>
      <c r="K203" s="117" t="s">
        <v>303</v>
      </c>
      <c r="L203" s="117" t="s">
        <v>96</v>
      </c>
      <c r="M203" s="117" t="s">
        <v>304</v>
      </c>
      <c r="N203" s="118">
        <v>50.87359</v>
      </c>
      <c r="O203" s="111">
        <f t="shared" si="3"/>
        <v>15.160329820000001</v>
      </c>
    </row>
    <row r="204" spans="2:15">
      <c r="B204" s="117" t="s">
        <v>297</v>
      </c>
      <c r="C204" s="117" t="s">
        <v>298</v>
      </c>
      <c r="D204" s="117" t="s">
        <v>21</v>
      </c>
      <c r="E204" s="117" t="s">
        <v>126</v>
      </c>
      <c r="F204" s="117" t="s">
        <v>299</v>
      </c>
      <c r="G204" s="117" t="s">
        <v>305</v>
      </c>
      <c r="H204" s="117" t="s">
        <v>95</v>
      </c>
      <c r="I204" s="117" t="s">
        <v>301</v>
      </c>
      <c r="J204" s="117" t="s">
        <v>302</v>
      </c>
      <c r="K204" s="117" t="s">
        <v>303</v>
      </c>
      <c r="L204" s="117" t="s">
        <v>96</v>
      </c>
      <c r="M204" s="117" t="s">
        <v>304</v>
      </c>
      <c r="N204" s="118">
        <v>6.2983700000000002</v>
      </c>
      <c r="O204" s="111">
        <f t="shared" si="3"/>
        <v>1.8769142599999999</v>
      </c>
    </row>
    <row r="205" spans="2:15">
      <c r="B205" s="117" t="s">
        <v>297</v>
      </c>
      <c r="C205" s="117" t="s">
        <v>298</v>
      </c>
      <c r="D205" s="117" t="s">
        <v>20</v>
      </c>
      <c r="E205" s="117" t="s">
        <v>68</v>
      </c>
      <c r="F205" s="117" t="s">
        <v>299</v>
      </c>
      <c r="G205" s="117" t="s">
        <v>305</v>
      </c>
      <c r="H205" s="117" t="s">
        <v>95</v>
      </c>
      <c r="I205" s="117" t="s">
        <v>306</v>
      </c>
      <c r="J205" s="117" t="s">
        <v>302</v>
      </c>
      <c r="K205" s="117" t="s">
        <v>307</v>
      </c>
      <c r="L205" s="117" t="s">
        <v>96</v>
      </c>
      <c r="M205" s="117" t="s">
        <v>304</v>
      </c>
      <c r="N205" s="118">
        <v>2.6257600000000001</v>
      </c>
      <c r="O205" s="111">
        <f t="shared" si="3"/>
        <v>0.78247648000000003</v>
      </c>
    </row>
    <row r="206" spans="2:15">
      <c r="B206" s="117" t="s">
        <v>297</v>
      </c>
      <c r="C206" s="117" t="s">
        <v>298</v>
      </c>
      <c r="D206" s="117" t="s">
        <v>20</v>
      </c>
      <c r="E206" s="117" t="s">
        <v>68</v>
      </c>
      <c r="F206" s="117" t="s">
        <v>299</v>
      </c>
      <c r="G206" s="117" t="s">
        <v>300</v>
      </c>
      <c r="H206" s="117" t="s">
        <v>106</v>
      </c>
      <c r="I206" s="117" t="s">
        <v>301</v>
      </c>
      <c r="J206" s="117" t="s">
        <v>302</v>
      </c>
      <c r="K206" s="117" t="s">
        <v>303</v>
      </c>
      <c r="L206" s="117" t="s">
        <v>96</v>
      </c>
      <c r="M206" s="117" t="s">
        <v>304</v>
      </c>
      <c r="N206" s="118">
        <v>562.49721</v>
      </c>
      <c r="O206" s="111">
        <f t="shared" si="3"/>
        <v>14.06243025</v>
      </c>
    </row>
    <row r="207" spans="2:15">
      <c r="B207" s="117" t="s">
        <v>297</v>
      </c>
      <c r="C207" s="117" t="s">
        <v>298</v>
      </c>
      <c r="D207" s="117" t="s">
        <v>19</v>
      </c>
      <c r="E207" s="117" t="s">
        <v>69</v>
      </c>
      <c r="F207" s="117" t="s">
        <v>299</v>
      </c>
      <c r="G207" s="117" t="s">
        <v>300</v>
      </c>
      <c r="H207" s="117" t="s">
        <v>101</v>
      </c>
      <c r="I207" s="117" t="s">
        <v>301</v>
      </c>
      <c r="J207" s="117" t="s">
        <v>302</v>
      </c>
      <c r="K207" s="117" t="s">
        <v>303</v>
      </c>
      <c r="L207" s="117" t="s">
        <v>96</v>
      </c>
      <c r="M207" s="117" t="s">
        <v>304</v>
      </c>
      <c r="N207" s="118">
        <v>170.53263999999999</v>
      </c>
      <c r="O207" s="111">
        <f t="shared" si="3"/>
        <v>4.2633159999999997</v>
      </c>
    </row>
    <row r="208" spans="2:15">
      <c r="B208" s="117" t="s">
        <v>297</v>
      </c>
      <c r="C208" s="117" t="s">
        <v>298</v>
      </c>
      <c r="D208" s="117" t="s">
        <v>20</v>
      </c>
      <c r="E208" s="117" t="s">
        <v>68</v>
      </c>
      <c r="F208" s="117" t="s">
        <v>299</v>
      </c>
      <c r="G208" s="117" t="s">
        <v>300</v>
      </c>
      <c r="H208" s="117" t="s">
        <v>101</v>
      </c>
      <c r="I208" s="117" t="s">
        <v>306</v>
      </c>
      <c r="J208" s="117" t="s">
        <v>302</v>
      </c>
      <c r="K208" s="117" t="s">
        <v>307</v>
      </c>
      <c r="L208" s="117" t="s">
        <v>96</v>
      </c>
      <c r="M208" s="117" t="s">
        <v>304</v>
      </c>
      <c r="N208" s="118">
        <v>477.25004999999999</v>
      </c>
      <c r="O208" s="111">
        <f t="shared" si="3"/>
        <v>11.931251249999999</v>
      </c>
    </row>
    <row r="209" spans="2:15">
      <c r="B209" s="117" t="s">
        <v>297</v>
      </c>
      <c r="C209" s="117" t="s">
        <v>298</v>
      </c>
      <c r="D209" s="117" t="s">
        <v>19</v>
      </c>
      <c r="E209" s="117" t="s">
        <v>69</v>
      </c>
      <c r="F209" s="117" t="s">
        <v>299</v>
      </c>
      <c r="G209" s="117" t="s">
        <v>300</v>
      </c>
      <c r="H209" s="117" t="s">
        <v>106</v>
      </c>
      <c r="I209" s="117" t="s">
        <v>301</v>
      </c>
      <c r="J209" s="117" t="s">
        <v>302</v>
      </c>
      <c r="K209" s="117" t="s">
        <v>303</v>
      </c>
      <c r="L209" s="117" t="s">
        <v>96</v>
      </c>
      <c r="M209" s="117" t="s">
        <v>304</v>
      </c>
      <c r="N209" s="118">
        <v>169.67773</v>
      </c>
      <c r="O209" s="111">
        <f t="shared" si="3"/>
        <v>4.2419432500000003</v>
      </c>
    </row>
    <row r="210" spans="2:15">
      <c r="B210" s="117" t="s">
        <v>297</v>
      </c>
      <c r="C210" s="117" t="s">
        <v>298</v>
      </c>
      <c r="D210" s="117" t="s">
        <v>19</v>
      </c>
      <c r="E210" s="117" t="s">
        <v>69</v>
      </c>
      <c r="F210" s="117" t="s">
        <v>299</v>
      </c>
      <c r="G210" s="117" t="s">
        <v>300</v>
      </c>
      <c r="H210" s="117" t="s">
        <v>101</v>
      </c>
      <c r="I210" s="117" t="s">
        <v>306</v>
      </c>
      <c r="J210" s="117" t="s">
        <v>302</v>
      </c>
      <c r="K210" s="117" t="s">
        <v>307</v>
      </c>
      <c r="L210" s="117" t="s">
        <v>96</v>
      </c>
      <c r="M210" s="117" t="s">
        <v>304</v>
      </c>
      <c r="N210" s="118">
        <v>264.73557</v>
      </c>
      <c r="O210" s="111">
        <f t="shared" si="3"/>
        <v>6.6183892499999999</v>
      </c>
    </row>
    <row r="211" spans="2:15">
      <c r="B211" s="117" t="s">
        <v>297</v>
      </c>
      <c r="C211" s="117" t="s">
        <v>298</v>
      </c>
      <c r="D211" s="117" t="s">
        <v>313</v>
      </c>
      <c r="E211" s="117" t="s">
        <v>143</v>
      </c>
      <c r="F211" s="117" t="s">
        <v>299</v>
      </c>
      <c r="G211" s="117" t="s">
        <v>300</v>
      </c>
      <c r="H211" s="117" t="s">
        <v>101</v>
      </c>
      <c r="I211" s="117" t="s">
        <v>306</v>
      </c>
      <c r="J211" s="117" t="s">
        <v>302</v>
      </c>
      <c r="K211" s="117" t="s">
        <v>307</v>
      </c>
      <c r="L211" s="117" t="s">
        <v>96</v>
      </c>
      <c r="M211" s="117" t="s">
        <v>304</v>
      </c>
      <c r="N211" s="118">
        <v>6.5699999999999995E-2</v>
      </c>
      <c r="O211" s="111">
        <f t="shared" si="3"/>
        <v>1.6424999999999999E-3</v>
      </c>
    </row>
    <row r="212" spans="2:15">
      <c r="B212" s="117" t="s">
        <v>297</v>
      </c>
      <c r="C212" s="117" t="s">
        <v>298</v>
      </c>
      <c r="D212" s="117" t="s">
        <v>20</v>
      </c>
      <c r="E212" s="117" t="s">
        <v>68</v>
      </c>
      <c r="F212" s="117" t="s">
        <v>299</v>
      </c>
      <c r="G212" s="117" t="s">
        <v>300</v>
      </c>
      <c r="H212" s="117" t="s">
        <v>106</v>
      </c>
      <c r="I212" s="117" t="s">
        <v>306</v>
      </c>
      <c r="J212" s="117" t="s">
        <v>302</v>
      </c>
      <c r="K212" s="117" t="s">
        <v>307</v>
      </c>
      <c r="L212" s="117" t="s">
        <v>96</v>
      </c>
      <c r="M212" s="117" t="s">
        <v>304</v>
      </c>
      <c r="N212" s="118">
        <v>404.97152999999997</v>
      </c>
      <c r="O212" s="111">
        <f t="shared" si="3"/>
        <v>10.124288249999999</v>
      </c>
    </row>
    <row r="213" spans="2:15">
      <c r="B213" s="117" t="s">
        <v>297</v>
      </c>
      <c r="C213" s="117" t="s">
        <v>298</v>
      </c>
      <c r="D213" s="117" t="s">
        <v>19</v>
      </c>
      <c r="E213" s="117" t="s">
        <v>69</v>
      </c>
      <c r="F213" s="117" t="s">
        <v>299</v>
      </c>
      <c r="G213" s="117" t="s">
        <v>305</v>
      </c>
      <c r="H213" s="117" t="s">
        <v>106</v>
      </c>
      <c r="I213" s="117" t="s">
        <v>301</v>
      </c>
      <c r="J213" s="117" t="s">
        <v>302</v>
      </c>
      <c r="K213" s="117" t="s">
        <v>303</v>
      </c>
      <c r="L213" s="117" t="s">
        <v>96</v>
      </c>
      <c r="M213" s="117" t="s">
        <v>304</v>
      </c>
      <c r="N213" s="118">
        <v>7.7951199999999998</v>
      </c>
      <c r="O213" s="111">
        <f t="shared" si="3"/>
        <v>2.3229457600000001</v>
      </c>
    </row>
    <row r="214" spans="2:15">
      <c r="B214" s="117" t="s">
        <v>297</v>
      </c>
      <c r="C214" s="117" t="s">
        <v>298</v>
      </c>
      <c r="D214" s="117" t="s">
        <v>20</v>
      </c>
      <c r="E214" s="117" t="s">
        <v>68</v>
      </c>
      <c r="F214" s="117" t="s">
        <v>299</v>
      </c>
      <c r="G214" s="117" t="s">
        <v>305</v>
      </c>
      <c r="H214" s="117" t="s">
        <v>95</v>
      </c>
      <c r="I214" s="117" t="s">
        <v>301</v>
      </c>
      <c r="J214" s="117" t="s">
        <v>302</v>
      </c>
      <c r="K214" s="117" t="s">
        <v>303</v>
      </c>
      <c r="L214" s="117" t="s">
        <v>96</v>
      </c>
      <c r="M214" s="117" t="s">
        <v>304</v>
      </c>
      <c r="N214" s="118">
        <v>48.76876</v>
      </c>
      <c r="O214" s="111">
        <f t="shared" si="3"/>
        <v>14.53309048</v>
      </c>
    </row>
    <row r="215" spans="2:15">
      <c r="B215" s="117" t="s">
        <v>297</v>
      </c>
      <c r="C215" s="117" t="s">
        <v>298</v>
      </c>
      <c r="D215" s="117" t="s">
        <v>19</v>
      </c>
      <c r="E215" s="117" t="s">
        <v>69</v>
      </c>
      <c r="F215" s="117" t="s">
        <v>299</v>
      </c>
      <c r="G215" s="117" t="s">
        <v>305</v>
      </c>
      <c r="H215" s="117" t="s">
        <v>95</v>
      </c>
      <c r="I215" s="117" t="s">
        <v>306</v>
      </c>
      <c r="J215" s="117" t="s">
        <v>302</v>
      </c>
      <c r="K215" s="117" t="s">
        <v>307</v>
      </c>
      <c r="L215" s="117" t="s">
        <v>96</v>
      </c>
      <c r="M215" s="117" t="s">
        <v>304</v>
      </c>
      <c r="N215" s="118">
        <v>0.89137999999999995</v>
      </c>
      <c r="O215" s="111">
        <f t="shared" si="3"/>
        <v>0.26563123999999999</v>
      </c>
    </row>
    <row r="216" spans="2:15">
      <c r="B216" s="117" t="s">
        <v>297</v>
      </c>
      <c r="C216" s="117" t="s">
        <v>298</v>
      </c>
      <c r="D216" s="117" t="s">
        <v>28</v>
      </c>
      <c r="E216" s="117" t="s">
        <v>67</v>
      </c>
      <c r="F216" s="117" t="s">
        <v>299</v>
      </c>
      <c r="G216" s="117" t="s">
        <v>300</v>
      </c>
      <c r="H216" s="117" t="s">
        <v>106</v>
      </c>
      <c r="I216" s="117" t="s">
        <v>306</v>
      </c>
      <c r="J216" s="117" t="s">
        <v>302</v>
      </c>
      <c r="K216" s="117" t="s">
        <v>307</v>
      </c>
      <c r="L216" s="117" t="s">
        <v>96</v>
      </c>
      <c r="M216" s="117" t="s">
        <v>304</v>
      </c>
      <c r="N216" s="118">
        <v>39.072620000000001</v>
      </c>
      <c r="O216" s="111">
        <f t="shared" si="3"/>
        <v>0.97681550000000006</v>
      </c>
    </row>
    <row r="217" spans="2:15">
      <c r="B217" s="117" t="s">
        <v>297</v>
      </c>
      <c r="C217" s="117" t="s">
        <v>298</v>
      </c>
      <c r="D217" s="117" t="s">
        <v>19</v>
      </c>
      <c r="E217" s="117" t="s">
        <v>69</v>
      </c>
      <c r="F217" s="117" t="s">
        <v>299</v>
      </c>
      <c r="G217" s="117" t="s">
        <v>300</v>
      </c>
      <c r="H217" s="117" t="s">
        <v>95</v>
      </c>
      <c r="I217" s="117" t="s">
        <v>306</v>
      </c>
      <c r="J217" s="117" t="s">
        <v>302</v>
      </c>
      <c r="K217" s="117" t="s">
        <v>307</v>
      </c>
      <c r="L217" s="117" t="s">
        <v>96</v>
      </c>
      <c r="M217" s="117" t="s">
        <v>304</v>
      </c>
      <c r="N217" s="118">
        <v>295.95465000000002</v>
      </c>
      <c r="O217" s="111">
        <f t="shared" si="3"/>
        <v>7.3988662500000002</v>
      </c>
    </row>
    <row r="218" spans="2:15">
      <c r="B218" s="117" t="s">
        <v>297</v>
      </c>
      <c r="C218" s="117" t="s">
        <v>298</v>
      </c>
      <c r="D218" s="117" t="s">
        <v>18</v>
      </c>
      <c r="E218" s="117" t="s">
        <v>70</v>
      </c>
      <c r="F218" s="117" t="s">
        <v>299</v>
      </c>
      <c r="G218" s="117" t="s">
        <v>305</v>
      </c>
      <c r="H218" s="117" t="s">
        <v>106</v>
      </c>
      <c r="I218" s="117" t="s">
        <v>301</v>
      </c>
      <c r="J218" s="117" t="s">
        <v>302</v>
      </c>
      <c r="K218" s="117" t="s">
        <v>303</v>
      </c>
      <c r="L218" s="117" t="s">
        <v>96</v>
      </c>
      <c r="M218" s="117" t="s">
        <v>304</v>
      </c>
      <c r="N218" s="118">
        <v>19.25318</v>
      </c>
      <c r="O218" s="111">
        <f t="shared" si="3"/>
        <v>5.7374476400000001</v>
      </c>
    </row>
    <row r="219" spans="2:15">
      <c r="B219" s="117" t="s">
        <v>297</v>
      </c>
      <c r="C219" s="117" t="s">
        <v>298</v>
      </c>
      <c r="D219" s="117" t="s">
        <v>16</v>
      </c>
      <c r="E219" s="117" t="s">
        <v>122</v>
      </c>
      <c r="F219" s="117" t="s">
        <v>299</v>
      </c>
      <c r="G219" s="117" t="s">
        <v>300</v>
      </c>
      <c r="H219" s="117" t="s">
        <v>101</v>
      </c>
      <c r="I219" s="117" t="s">
        <v>301</v>
      </c>
      <c r="J219" s="117" t="s">
        <v>302</v>
      </c>
      <c r="K219" s="117" t="s">
        <v>303</v>
      </c>
      <c r="L219" s="117" t="s">
        <v>96</v>
      </c>
      <c r="M219" s="117" t="s">
        <v>304</v>
      </c>
      <c r="N219" s="118">
        <v>132.90201999999999</v>
      </c>
      <c r="O219" s="111">
        <f t="shared" si="3"/>
        <v>3.3225504999999997</v>
      </c>
    </row>
    <row r="220" spans="2:15">
      <c r="B220" s="117" t="s">
        <v>297</v>
      </c>
      <c r="C220" s="117" t="s">
        <v>298</v>
      </c>
      <c r="D220" s="117" t="s">
        <v>16</v>
      </c>
      <c r="E220" s="117" t="s">
        <v>122</v>
      </c>
      <c r="F220" s="117" t="s">
        <v>299</v>
      </c>
      <c r="G220" s="117" t="s">
        <v>300</v>
      </c>
      <c r="H220" s="117" t="s">
        <v>95</v>
      </c>
      <c r="I220" s="117" t="s">
        <v>306</v>
      </c>
      <c r="J220" s="117" t="s">
        <v>302</v>
      </c>
      <c r="K220" s="117" t="s">
        <v>307</v>
      </c>
      <c r="L220" s="117" t="s">
        <v>96</v>
      </c>
      <c r="M220" s="117" t="s">
        <v>304</v>
      </c>
      <c r="N220" s="118">
        <v>94.730990000000006</v>
      </c>
      <c r="O220" s="111">
        <f t="shared" si="3"/>
        <v>2.3682747499999999</v>
      </c>
    </row>
    <row r="221" spans="2:15">
      <c r="B221" s="117" t="s">
        <v>297</v>
      </c>
      <c r="C221" s="117" t="s">
        <v>298</v>
      </c>
      <c r="D221" s="117" t="s">
        <v>16</v>
      </c>
      <c r="E221" s="117" t="s">
        <v>122</v>
      </c>
      <c r="F221" s="117" t="s">
        <v>299</v>
      </c>
      <c r="G221" s="117" t="s">
        <v>300</v>
      </c>
      <c r="H221" s="117" t="s">
        <v>106</v>
      </c>
      <c r="I221" s="117" t="s">
        <v>306</v>
      </c>
      <c r="J221" s="117" t="s">
        <v>302</v>
      </c>
      <c r="K221" s="117" t="s">
        <v>307</v>
      </c>
      <c r="L221" s="117" t="s">
        <v>96</v>
      </c>
      <c r="M221" s="117" t="s">
        <v>304</v>
      </c>
      <c r="N221" s="118">
        <v>44.205930000000002</v>
      </c>
      <c r="O221" s="111">
        <f t="shared" si="3"/>
        <v>1.1051482500000001</v>
      </c>
    </row>
    <row r="222" spans="2:15">
      <c r="B222" s="117" t="s">
        <v>297</v>
      </c>
      <c r="C222" s="117" t="s">
        <v>298</v>
      </c>
      <c r="D222" s="117" t="s">
        <v>28</v>
      </c>
      <c r="E222" s="117" t="s">
        <v>67</v>
      </c>
      <c r="F222" s="117" t="s">
        <v>299</v>
      </c>
      <c r="G222" s="117" t="s">
        <v>305</v>
      </c>
      <c r="H222" s="117" t="s">
        <v>106</v>
      </c>
      <c r="I222" s="117" t="s">
        <v>301</v>
      </c>
      <c r="J222" s="117" t="s">
        <v>302</v>
      </c>
      <c r="K222" s="117" t="s">
        <v>303</v>
      </c>
      <c r="L222" s="117" t="s">
        <v>96</v>
      </c>
      <c r="M222" s="117" t="s">
        <v>304</v>
      </c>
      <c r="N222" s="118">
        <v>8.8352199999999996</v>
      </c>
      <c r="O222" s="111">
        <f t="shared" si="3"/>
        <v>2.6328955600000001</v>
      </c>
    </row>
    <row r="223" spans="2:15">
      <c r="B223" s="117" t="s">
        <v>297</v>
      </c>
      <c r="C223" s="117" t="s">
        <v>298</v>
      </c>
      <c r="D223" s="117" t="s">
        <v>19</v>
      </c>
      <c r="E223" s="117" t="s">
        <v>69</v>
      </c>
      <c r="F223" s="117" t="s">
        <v>299</v>
      </c>
      <c r="G223" s="117" t="s">
        <v>305</v>
      </c>
      <c r="H223" s="117" t="s">
        <v>106</v>
      </c>
      <c r="I223" s="117" t="s">
        <v>306</v>
      </c>
      <c r="J223" s="117" t="s">
        <v>302</v>
      </c>
      <c r="K223" s="117" t="s">
        <v>307</v>
      </c>
      <c r="L223" s="117" t="s">
        <v>96</v>
      </c>
      <c r="M223" s="117" t="s">
        <v>304</v>
      </c>
      <c r="N223" s="118">
        <v>0.90103</v>
      </c>
      <c r="O223" s="111">
        <f t="shared" si="3"/>
        <v>0.26850693999999997</v>
      </c>
    </row>
    <row r="224" spans="2:15">
      <c r="B224" s="117" t="s">
        <v>297</v>
      </c>
      <c r="C224" s="117" t="s">
        <v>298</v>
      </c>
      <c r="D224" s="117" t="s">
        <v>28</v>
      </c>
      <c r="E224" s="117" t="s">
        <v>67</v>
      </c>
      <c r="F224" s="117" t="s">
        <v>299</v>
      </c>
      <c r="G224" s="117" t="s">
        <v>305</v>
      </c>
      <c r="H224" s="117" t="s">
        <v>95</v>
      </c>
      <c r="I224" s="117" t="s">
        <v>306</v>
      </c>
      <c r="J224" s="117" t="s">
        <v>302</v>
      </c>
      <c r="K224" s="117" t="s">
        <v>307</v>
      </c>
      <c r="L224" s="117" t="s">
        <v>96</v>
      </c>
      <c r="M224" s="117" t="s">
        <v>304</v>
      </c>
      <c r="N224" s="118">
        <v>0.23135</v>
      </c>
      <c r="O224" s="111">
        <f t="shared" ref="O224:O287" si="4">IF(G224="CH4",N224*25,N224*298)/1000</f>
        <v>6.8942299999999998E-2</v>
      </c>
    </row>
    <row r="225" spans="2:15">
      <c r="B225" s="117" t="s">
        <v>297</v>
      </c>
      <c r="C225" s="117" t="s">
        <v>298</v>
      </c>
      <c r="D225" s="117" t="s">
        <v>18</v>
      </c>
      <c r="E225" s="117" t="s">
        <v>70</v>
      </c>
      <c r="F225" s="117" t="s">
        <v>299</v>
      </c>
      <c r="G225" s="117" t="s">
        <v>300</v>
      </c>
      <c r="H225" s="117" t="s">
        <v>95</v>
      </c>
      <c r="I225" s="117" t="s">
        <v>301</v>
      </c>
      <c r="J225" s="117" t="s">
        <v>302</v>
      </c>
      <c r="K225" s="117" t="s">
        <v>303</v>
      </c>
      <c r="L225" s="117" t="s">
        <v>96</v>
      </c>
      <c r="M225" s="117" t="s">
        <v>304</v>
      </c>
      <c r="N225" s="118">
        <v>564.98550999999998</v>
      </c>
      <c r="O225" s="111">
        <f t="shared" si="4"/>
        <v>14.12463775</v>
      </c>
    </row>
    <row r="226" spans="2:15">
      <c r="B226" s="117" t="s">
        <v>297</v>
      </c>
      <c r="C226" s="117" t="s">
        <v>298</v>
      </c>
      <c r="D226" s="117" t="s">
        <v>18</v>
      </c>
      <c r="E226" s="117" t="s">
        <v>70</v>
      </c>
      <c r="F226" s="117" t="s">
        <v>299</v>
      </c>
      <c r="G226" s="117" t="s">
        <v>300</v>
      </c>
      <c r="H226" s="117" t="s">
        <v>106</v>
      </c>
      <c r="I226" s="117" t="s">
        <v>301</v>
      </c>
      <c r="J226" s="117" t="s">
        <v>302</v>
      </c>
      <c r="K226" s="117" t="s">
        <v>303</v>
      </c>
      <c r="L226" s="117" t="s">
        <v>96</v>
      </c>
      <c r="M226" s="117" t="s">
        <v>304</v>
      </c>
      <c r="N226" s="118">
        <v>511.24955</v>
      </c>
      <c r="O226" s="111">
        <f t="shared" si="4"/>
        <v>12.78123875</v>
      </c>
    </row>
    <row r="227" spans="2:15">
      <c r="B227" s="117" t="s">
        <v>297</v>
      </c>
      <c r="C227" s="117" t="s">
        <v>298</v>
      </c>
      <c r="D227" s="117" t="s">
        <v>27</v>
      </c>
      <c r="E227" s="117" t="s">
        <v>117</v>
      </c>
      <c r="F227" s="117" t="s">
        <v>299</v>
      </c>
      <c r="G227" s="117" t="s">
        <v>300</v>
      </c>
      <c r="H227" s="117" t="s">
        <v>106</v>
      </c>
      <c r="I227" s="117" t="s">
        <v>301</v>
      </c>
      <c r="J227" s="117" t="s">
        <v>302</v>
      </c>
      <c r="K227" s="117" t="s">
        <v>303</v>
      </c>
      <c r="L227" s="117" t="s">
        <v>96</v>
      </c>
      <c r="M227" s="117" t="s">
        <v>304</v>
      </c>
      <c r="N227" s="118">
        <v>19.75188</v>
      </c>
      <c r="O227" s="111">
        <f t="shared" si="4"/>
        <v>0.49379700000000004</v>
      </c>
    </row>
    <row r="228" spans="2:15">
      <c r="B228" s="117" t="s">
        <v>297</v>
      </c>
      <c r="C228" s="117" t="s">
        <v>298</v>
      </c>
      <c r="D228" s="117" t="s">
        <v>18</v>
      </c>
      <c r="E228" s="117" t="s">
        <v>70</v>
      </c>
      <c r="F228" s="117" t="s">
        <v>299</v>
      </c>
      <c r="G228" s="117" t="s">
        <v>300</v>
      </c>
      <c r="H228" s="117" t="s">
        <v>95</v>
      </c>
      <c r="I228" s="117" t="s">
        <v>306</v>
      </c>
      <c r="J228" s="117" t="s">
        <v>302</v>
      </c>
      <c r="K228" s="117" t="s">
        <v>307</v>
      </c>
      <c r="L228" s="117" t="s">
        <v>96</v>
      </c>
      <c r="M228" s="117" t="s">
        <v>304</v>
      </c>
      <c r="N228" s="118">
        <v>199.04096999999999</v>
      </c>
      <c r="O228" s="111">
        <f t="shared" si="4"/>
        <v>4.9760242499999991</v>
      </c>
    </row>
    <row r="229" spans="2:15">
      <c r="B229" s="117" t="s">
        <v>297</v>
      </c>
      <c r="C229" s="117" t="s">
        <v>298</v>
      </c>
      <c r="D229" s="117" t="s">
        <v>18</v>
      </c>
      <c r="E229" s="117" t="s">
        <v>70</v>
      </c>
      <c r="F229" s="117" t="s">
        <v>299</v>
      </c>
      <c r="G229" s="117" t="s">
        <v>300</v>
      </c>
      <c r="H229" s="117" t="s">
        <v>101</v>
      </c>
      <c r="I229" s="117" t="s">
        <v>306</v>
      </c>
      <c r="J229" s="117" t="s">
        <v>302</v>
      </c>
      <c r="K229" s="117" t="s">
        <v>307</v>
      </c>
      <c r="L229" s="117" t="s">
        <v>96</v>
      </c>
      <c r="M229" s="117" t="s">
        <v>304</v>
      </c>
      <c r="N229" s="118">
        <v>199.95661000000001</v>
      </c>
      <c r="O229" s="111">
        <f t="shared" si="4"/>
        <v>4.9989152499999996</v>
      </c>
    </row>
    <row r="230" spans="2:15">
      <c r="B230" s="117" t="s">
        <v>297</v>
      </c>
      <c r="C230" s="117" t="s">
        <v>298</v>
      </c>
      <c r="D230" s="117" t="s">
        <v>15</v>
      </c>
      <c r="E230" s="117" t="s">
        <v>72</v>
      </c>
      <c r="F230" s="117" t="s">
        <v>299</v>
      </c>
      <c r="G230" s="117" t="s">
        <v>305</v>
      </c>
      <c r="H230" s="117" t="s">
        <v>101</v>
      </c>
      <c r="I230" s="117" t="s">
        <v>301</v>
      </c>
      <c r="J230" s="117" t="s">
        <v>302</v>
      </c>
      <c r="K230" s="117" t="s">
        <v>303</v>
      </c>
      <c r="L230" s="117" t="s">
        <v>96</v>
      </c>
      <c r="M230" s="117" t="s">
        <v>304</v>
      </c>
      <c r="N230" s="118">
        <v>1.8230900000000001</v>
      </c>
      <c r="O230" s="111">
        <f t="shared" si="4"/>
        <v>0.54328082000000011</v>
      </c>
    </row>
    <row r="231" spans="2:15">
      <c r="B231" s="117" t="s">
        <v>297</v>
      </c>
      <c r="C231" s="117" t="s">
        <v>298</v>
      </c>
      <c r="D231" s="117" t="s">
        <v>18</v>
      </c>
      <c r="E231" s="117" t="s">
        <v>70</v>
      </c>
      <c r="F231" s="117" t="s">
        <v>299</v>
      </c>
      <c r="G231" s="117" t="s">
        <v>305</v>
      </c>
      <c r="H231" s="117" t="s">
        <v>95</v>
      </c>
      <c r="I231" s="117" t="s">
        <v>301</v>
      </c>
      <c r="J231" s="117" t="s">
        <v>302</v>
      </c>
      <c r="K231" s="117" t="s">
        <v>303</v>
      </c>
      <c r="L231" s="117" t="s">
        <v>96</v>
      </c>
      <c r="M231" s="117" t="s">
        <v>304</v>
      </c>
      <c r="N231" s="118">
        <v>20.948419999999999</v>
      </c>
      <c r="O231" s="111">
        <f t="shared" si="4"/>
        <v>6.2426291599999999</v>
      </c>
    </row>
    <row r="232" spans="2:15">
      <c r="B232" s="117" t="s">
        <v>297</v>
      </c>
      <c r="C232" s="117" t="s">
        <v>298</v>
      </c>
      <c r="D232" s="117" t="s">
        <v>18</v>
      </c>
      <c r="E232" s="117" t="s">
        <v>70</v>
      </c>
      <c r="F232" s="117" t="s">
        <v>299</v>
      </c>
      <c r="G232" s="117" t="s">
        <v>305</v>
      </c>
      <c r="H232" s="117" t="s">
        <v>106</v>
      </c>
      <c r="I232" s="117" t="s">
        <v>306</v>
      </c>
      <c r="J232" s="117" t="s">
        <v>302</v>
      </c>
      <c r="K232" s="117" t="s">
        <v>307</v>
      </c>
      <c r="L232" s="117" t="s">
        <v>96</v>
      </c>
      <c r="M232" s="117" t="s">
        <v>304</v>
      </c>
      <c r="N232" s="118">
        <v>1.8129999999999999</v>
      </c>
      <c r="O232" s="111">
        <f t="shared" si="4"/>
        <v>0.54027400000000003</v>
      </c>
    </row>
    <row r="233" spans="2:15">
      <c r="B233" s="117" t="s">
        <v>297</v>
      </c>
      <c r="C233" s="117" t="s">
        <v>298</v>
      </c>
      <c r="D233" s="117" t="s">
        <v>15</v>
      </c>
      <c r="E233" s="117" t="s">
        <v>72</v>
      </c>
      <c r="F233" s="117" t="s">
        <v>299</v>
      </c>
      <c r="G233" s="117" t="s">
        <v>305</v>
      </c>
      <c r="H233" s="117" t="s">
        <v>106</v>
      </c>
      <c r="I233" s="117" t="s">
        <v>306</v>
      </c>
      <c r="J233" s="117" t="s">
        <v>302</v>
      </c>
      <c r="K233" s="117" t="s">
        <v>307</v>
      </c>
      <c r="L233" s="117" t="s">
        <v>96</v>
      </c>
      <c r="M233" s="117" t="s">
        <v>304</v>
      </c>
      <c r="N233" s="118">
        <v>0.18182000000000001</v>
      </c>
      <c r="O233" s="111">
        <f t="shared" si="4"/>
        <v>5.4182360000000006E-2</v>
      </c>
    </row>
    <row r="234" spans="2:15">
      <c r="B234" s="117" t="s">
        <v>297</v>
      </c>
      <c r="C234" s="117" t="s">
        <v>298</v>
      </c>
      <c r="D234" s="117" t="s">
        <v>18</v>
      </c>
      <c r="E234" s="117" t="s">
        <v>70</v>
      </c>
      <c r="F234" s="117" t="s">
        <v>299</v>
      </c>
      <c r="G234" s="117" t="s">
        <v>305</v>
      </c>
      <c r="H234" s="117" t="s">
        <v>95</v>
      </c>
      <c r="I234" s="117" t="s">
        <v>306</v>
      </c>
      <c r="J234" s="117" t="s">
        <v>302</v>
      </c>
      <c r="K234" s="117" t="s">
        <v>307</v>
      </c>
      <c r="L234" s="117" t="s">
        <v>96</v>
      </c>
      <c r="M234" s="117" t="s">
        <v>304</v>
      </c>
      <c r="N234" s="118">
        <v>2.0882499999999999</v>
      </c>
      <c r="O234" s="111">
        <f t="shared" si="4"/>
        <v>0.62229849999999998</v>
      </c>
    </row>
    <row r="235" spans="2:15">
      <c r="B235" s="117" t="s">
        <v>297</v>
      </c>
      <c r="C235" s="117" t="s">
        <v>298</v>
      </c>
      <c r="D235" s="117" t="s">
        <v>26</v>
      </c>
      <c r="E235" s="117" t="s">
        <v>66</v>
      </c>
      <c r="F235" s="117" t="s">
        <v>299</v>
      </c>
      <c r="G235" s="117" t="s">
        <v>300</v>
      </c>
      <c r="H235" s="117" t="s">
        <v>106</v>
      </c>
      <c r="I235" s="117" t="s">
        <v>301</v>
      </c>
      <c r="J235" s="117" t="s">
        <v>302</v>
      </c>
      <c r="K235" s="117" t="s">
        <v>303</v>
      </c>
      <c r="L235" s="117" t="s">
        <v>96</v>
      </c>
      <c r="M235" s="117" t="s">
        <v>304</v>
      </c>
      <c r="N235" s="118">
        <v>38.374879999999997</v>
      </c>
      <c r="O235" s="111">
        <f t="shared" si="4"/>
        <v>0.959372</v>
      </c>
    </row>
    <row r="236" spans="2:15">
      <c r="B236" s="117" t="s">
        <v>297</v>
      </c>
      <c r="C236" s="117" t="s">
        <v>298</v>
      </c>
      <c r="D236" s="117" t="s">
        <v>16</v>
      </c>
      <c r="E236" s="117" t="s">
        <v>122</v>
      </c>
      <c r="F236" s="117" t="s">
        <v>299</v>
      </c>
      <c r="G236" s="117" t="s">
        <v>300</v>
      </c>
      <c r="H236" s="117" t="s">
        <v>101</v>
      </c>
      <c r="I236" s="117" t="s">
        <v>306</v>
      </c>
      <c r="J236" s="117" t="s">
        <v>302</v>
      </c>
      <c r="K236" s="117" t="s">
        <v>307</v>
      </c>
      <c r="L236" s="117" t="s">
        <v>96</v>
      </c>
      <c r="M236" s="117" t="s">
        <v>304</v>
      </c>
      <c r="N236" s="118">
        <v>65.044359999999998</v>
      </c>
      <c r="O236" s="111">
        <f t="shared" si="4"/>
        <v>1.626109</v>
      </c>
    </row>
    <row r="237" spans="2:15">
      <c r="B237" s="117" t="s">
        <v>297</v>
      </c>
      <c r="C237" s="117" t="s">
        <v>298</v>
      </c>
      <c r="D237" s="117" t="s">
        <v>14</v>
      </c>
      <c r="E237" s="117" t="s">
        <v>71</v>
      </c>
      <c r="F237" s="117" t="s">
        <v>299</v>
      </c>
      <c r="G237" s="117" t="s">
        <v>300</v>
      </c>
      <c r="H237" s="117" t="s">
        <v>101</v>
      </c>
      <c r="I237" s="117" t="s">
        <v>306</v>
      </c>
      <c r="J237" s="117" t="s">
        <v>302</v>
      </c>
      <c r="K237" s="117" t="s">
        <v>307</v>
      </c>
      <c r="L237" s="117" t="s">
        <v>96</v>
      </c>
      <c r="M237" s="117" t="s">
        <v>304</v>
      </c>
      <c r="N237" s="118">
        <v>51.184869999999997</v>
      </c>
      <c r="O237" s="111">
        <f t="shared" si="4"/>
        <v>1.27962175</v>
      </c>
    </row>
    <row r="238" spans="2:15">
      <c r="B238" s="117" t="s">
        <v>297</v>
      </c>
      <c r="C238" s="117" t="s">
        <v>298</v>
      </c>
      <c r="D238" s="117" t="s">
        <v>16</v>
      </c>
      <c r="E238" s="117" t="s">
        <v>122</v>
      </c>
      <c r="F238" s="117" t="s">
        <v>299</v>
      </c>
      <c r="G238" s="117" t="s">
        <v>305</v>
      </c>
      <c r="H238" s="117" t="s">
        <v>101</v>
      </c>
      <c r="I238" s="117" t="s">
        <v>301</v>
      </c>
      <c r="J238" s="117" t="s">
        <v>302</v>
      </c>
      <c r="K238" s="117" t="s">
        <v>303</v>
      </c>
      <c r="L238" s="117" t="s">
        <v>96</v>
      </c>
      <c r="M238" s="117" t="s">
        <v>304</v>
      </c>
      <c r="N238" s="118">
        <v>11.25379</v>
      </c>
      <c r="O238" s="111">
        <f t="shared" si="4"/>
        <v>3.3536294200000003</v>
      </c>
    </row>
    <row r="239" spans="2:15">
      <c r="B239" s="117" t="s">
        <v>297</v>
      </c>
      <c r="C239" s="117" t="s">
        <v>298</v>
      </c>
      <c r="D239" s="117" t="s">
        <v>14</v>
      </c>
      <c r="E239" s="117" t="s">
        <v>71</v>
      </c>
      <c r="F239" s="117" t="s">
        <v>299</v>
      </c>
      <c r="G239" s="117" t="s">
        <v>305</v>
      </c>
      <c r="H239" s="117" t="s">
        <v>106</v>
      </c>
      <c r="I239" s="117" t="s">
        <v>301</v>
      </c>
      <c r="J239" s="117" t="s">
        <v>302</v>
      </c>
      <c r="K239" s="117" t="s">
        <v>303</v>
      </c>
      <c r="L239" s="117" t="s">
        <v>96</v>
      </c>
      <c r="M239" s="117" t="s">
        <v>304</v>
      </c>
      <c r="N239" s="118">
        <v>6.0288500000000003</v>
      </c>
      <c r="O239" s="111">
        <f t="shared" si="4"/>
        <v>1.7965973000000002</v>
      </c>
    </row>
    <row r="240" spans="2:15">
      <c r="B240" s="117" t="s">
        <v>297</v>
      </c>
      <c r="C240" s="117" t="s">
        <v>298</v>
      </c>
      <c r="D240" s="117" t="s">
        <v>26</v>
      </c>
      <c r="E240" s="117" t="s">
        <v>66</v>
      </c>
      <c r="F240" s="117" t="s">
        <v>299</v>
      </c>
      <c r="G240" s="117" t="s">
        <v>305</v>
      </c>
      <c r="H240" s="117" t="s">
        <v>101</v>
      </c>
      <c r="I240" s="117" t="s">
        <v>301</v>
      </c>
      <c r="J240" s="117" t="s">
        <v>302</v>
      </c>
      <c r="K240" s="117" t="s">
        <v>303</v>
      </c>
      <c r="L240" s="117" t="s">
        <v>96</v>
      </c>
      <c r="M240" s="117" t="s">
        <v>304</v>
      </c>
      <c r="N240" s="118">
        <v>5.0656999999999996</v>
      </c>
      <c r="O240" s="111">
        <f t="shared" si="4"/>
        <v>1.5095785999999998</v>
      </c>
    </row>
    <row r="241" spans="2:15">
      <c r="B241" s="117" t="s">
        <v>297</v>
      </c>
      <c r="C241" s="117" t="s">
        <v>298</v>
      </c>
      <c r="D241" s="117" t="s">
        <v>14</v>
      </c>
      <c r="E241" s="117" t="s">
        <v>71</v>
      </c>
      <c r="F241" s="117" t="s">
        <v>299</v>
      </c>
      <c r="G241" s="117" t="s">
        <v>305</v>
      </c>
      <c r="H241" s="117" t="s">
        <v>101</v>
      </c>
      <c r="I241" s="117" t="s">
        <v>306</v>
      </c>
      <c r="J241" s="117" t="s">
        <v>302</v>
      </c>
      <c r="K241" s="117" t="s">
        <v>307</v>
      </c>
      <c r="L241" s="117" t="s">
        <v>96</v>
      </c>
      <c r="M241" s="117" t="s">
        <v>304</v>
      </c>
      <c r="N241" s="118">
        <v>0.36081999999999997</v>
      </c>
      <c r="O241" s="111">
        <f t="shared" si="4"/>
        <v>0.10752435999999999</v>
      </c>
    </row>
    <row r="242" spans="2:15">
      <c r="B242" s="117" t="s">
        <v>297</v>
      </c>
      <c r="C242" s="117" t="s">
        <v>298</v>
      </c>
      <c r="D242" s="117" t="s">
        <v>15</v>
      </c>
      <c r="E242" s="117" t="s">
        <v>72</v>
      </c>
      <c r="F242" s="117" t="s">
        <v>299</v>
      </c>
      <c r="G242" s="117" t="s">
        <v>300</v>
      </c>
      <c r="H242" s="117" t="s">
        <v>106</v>
      </c>
      <c r="I242" s="117" t="s">
        <v>301</v>
      </c>
      <c r="J242" s="117" t="s">
        <v>302</v>
      </c>
      <c r="K242" s="117" t="s">
        <v>303</v>
      </c>
      <c r="L242" s="117" t="s">
        <v>96</v>
      </c>
      <c r="M242" s="117" t="s">
        <v>304</v>
      </c>
      <c r="N242" s="118">
        <v>47.236190000000001</v>
      </c>
      <c r="O242" s="111">
        <f t="shared" si="4"/>
        <v>1.1809047499999998</v>
      </c>
    </row>
    <row r="243" spans="2:15">
      <c r="B243" s="117" t="s">
        <v>297</v>
      </c>
      <c r="C243" s="117" t="s">
        <v>298</v>
      </c>
      <c r="D243" s="117" t="s">
        <v>23</v>
      </c>
      <c r="E243" s="117" t="s">
        <v>118</v>
      </c>
      <c r="F243" s="117" t="s">
        <v>299</v>
      </c>
      <c r="G243" s="117" t="s">
        <v>300</v>
      </c>
      <c r="H243" s="117" t="s">
        <v>101</v>
      </c>
      <c r="I243" s="117" t="s">
        <v>306</v>
      </c>
      <c r="J243" s="117" t="s">
        <v>302</v>
      </c>
      <c r="K243" s="117" t="s">
        <v>307</v>
      </c>
      <c r="L243" s="117" t="s">
        <v>96</v>
      </c>
      <c r="M243" s="117" t="s">
        <v>304</v>
      </c>
      <c r="N243" s="118">
        <v>5.53172</v>
      </c>
      <c r="O243" s="111">
        <f t="shared" si="4"/>
        <v>0.138293</v>
      </c>
    </row>
    <row r="244" spans="2:15">
      <c r="B244" s="117" t="s">
        <v>297</v>
      </c>
      <c r="C244" s="117" t="s">
        <v>298</v>
      </c>
      <c r="D244" s="117" t="s">
        <v>13</v>
      </c>
      <c r="E244" s="117" t="s">
        <v>315</v>
      </c>
      <c r="F244" s="117" t="s">
        <v>299</v>
      </c>
      <c r="G244" s="117" t="s">
        <v>300</v>
      </c>
      <c r="H244" s="117" t="s">
        <v>101</v>
      </c>
      <c r="I244" s="117" t="s">
        <v>301</v>
      </c>
      <c r="J244" s="117" t="s">
        <v>302</v>
      </c>
      <c r="K244" s="117" t="s">
        <v>303</v>
      </c>
      <c r="L244" s="117" t="s">
        <v>96</v>
      </c>
      <c r="M244" s="117" t="s">
        <v>304</v>
      </c>
      <c r="N244" s="118">
        <v>1089.16851</v>
      </c>
      <c r="O244" s="111">
        <f t="shared" si="4"/>
        <v>27.229212749999999</v>
      </c>
    </row>
    <row r="245" spans="2:15">
      <c r="B245" s="117" t="s">
        <v>297</v>
      </c>
      <c r="C245" s="117" t="s">
        <v>298</v>
      </c>
      <c r="D245" s="117" t="s">
        <v>22</v>
      </c>
      <c r="E245" s="117" t="s">
        <v>119</v>
      </c>
      <c r="F245" s="117" t="s">
        <v>299</v>
      </c>
      <c r="G245" s="117" t="s">
        <v>300</v>
      </c>
      <c r="H245" s="117" t="s">
        <v>106</v>
      </c>
      <c r="I245" s="117" t="s">
        <v>301</v>
      </c>
      <c r="J245" s="117" t="s">
        <v>302</v>
      </c>
      <c r="K245" s="117" t="s">
        <v>303</v>
      </c>
      <c r="L245" s="117" t="s">
        <v>96</v>
      </c>
      <c r="M245" s="117" t="s">
        <v>304</v>
      </c>
      <c r="N245" s="118">
        <v>519.91840999999999</v>
      </c>
      <c r="O245" s="111">
        <f t="shared" si="4"/>
        <v>12.99796025</v>
      </c>
    </row>
    <row r="246" spans="2:15">
      <c r="B246" s="117" t="s">
        <v>297</v>
      </c>
      <c r="C246" s="117" t="s">
        <v>298</v>
      </c>
      <c r="D246" s="117" t="s">
        <v>22</v>
      </c>
      <c r="E246" s="117" t="s">
        <v>119</v>
      </c>
      <c r="F246" s="117" t="s">
        <v>299</v>
      </c>
      <c r="G246" s="117" t="s">
        <v>300</v>
      </c>
      <c r="H246" s="117" t="s">
        <v>106</v>
      </c>
      <c r="I246" s="117" t="s">
        <v>306</v>
      </c>
      <c r="J246" s="117" t="s">
        <v>302</v>
      </c>
      <c r="K246" s="117" t="s">
        <v>307</v>
      </c>
      <c r="L246" s="117" t="s">
        <v>96</v>
      </c>
      <c r="M246" s="117" t="s">
        <v>304</v>
      </c>
      <c r="N246" s="118">
        <v>129.17975999999999</v>
      </c>
      <c r="O246" s="111">
        <f t="shared" si="4"/>
        <v>3.2294939999999999</v>
      </c>
    </row>
    <row r="247" spans="2:15">
      <c r="B247" s="117" t="s">
        <v>297</v>
      </c>
      <c r="C247" s="117" t="s">
        <v>298</v>
      </c>
      <c r="D247" s="117" t="s">
        <v>15</v>
      </c>
      <c r="E247" s="117" t="s">
        <v>72</v>
      </c>
      <c r="F247" s="117" t="s">
        <v>299</v>
      </c>
      <c r="G247" s="117" t="s">
        <v>305</v>
      </c>
      <c r="H247" s="117" t="s">
        <v>95</v>
      </c>
      <c r="I247" s="117" t="s">
        <v>306</v>
      </c>
      <c r="J247" s="117" t="s">
        <v>302</v>
      </c>
      <c r="K247" s="117" t="s">
        <v>307</v>
      </c>
      <c r="L247" s="117" t="s">
        <v>96</v>
      </c>
      <c r="M247" s="117" t="s">
        <v>304</v>
      </c>
      <c r="N247" s="118">
        <v>0.16744000000000001</v>
      </c>
      <c r="O247" s="111">
        <f t="shared" si="4"/>
        <v>4.9897120000000003E-2</v>
      </c>
    </row>
    <row r="248" spans="2:15">
      <c r="B248" s="117" t="s">
        <v>297</v>
      </c>
      <c r="C248" s="117" t="s">
        <v>298</v>
      </c>
      <c r="D248" s="117" t="s">
        <v>14</v>
      </c>
      <c r="E248" s="117" t="s">
        <v>71</v>
      </c>
      <c r="F248" s="117" t="s">
        <v>299</v>
      </c>
      <c r="G248" s="117" t="s">
        <v>300</v>
      </c>
      <c r="H248" s="117" t="s">
        <v>106</v>
      </c>
      <c r="I248" s="117" t="s">
        <v>301</v>
      </c>
      <c r="J248" s="117" t="s">
        <v>302</v>
      </c>
      <c r="K248" s="117" t="s">
        <v>303</v>
      </c>
      <c r="L248" s="117" t="s">
        <v>96</v>
      </c>
      <c r="M248" s="117" t="s">
        <v>304</v>
      </c>
      <c r="N248" s="118">
        <v>45.67803</v>
      </c>
      <c r="O248" s="111">
        <f t="shared" si="4"/>
        <v>1.1419507499999999</v>
      </c>
    </row>
    <row r="249" spans="2:15">
      <c r="B249" s="117" t="s">
        <v>297</v>
      </c>
      <c r="C249" s="117" t="s">
        <v>298</v>
      </c>
      <c r="D249" s="117" t="s">
        <v>14</v>
      </c>
      <c r="E249" s="117" t="s">
        <v>71</v>
      </c>
      <c r="F249" s="117" t="s">
        <v>299</v>
      </c>
      <c r="G249" s="117" t="s">
        <v>300</v>
      </c>
      <c r="H249" s="117" t="s">
        <v>95</v>
      </c>
      <c r="I249" s="117" t="s">
        <v>301</v>
      </c>
      <c r="J249" s="117" t="s">
        <v>302</v>
      </c>
      <c r="K249" s="117" t="s">
        <v>303</v>
      </c>
      <c r="L249" s="117" t="s">
        <v>96</v>
      </c>
      <c r="M249" s="117" t="s">
        <v>304</v>
      </c>
      <c r="N249" s="118">
        <v>53.711359999999999</v>
      </c>
      <c r="O249" s="111">
        <f t="shared" si="4"/>
        <v>1.342784</v>
      </c>
    </row>
    <row r="250" spans="2:15">
      <c r="B250" s="117" t="s">
        <v>297</v>
      </c>
      <c r="C250" s="117" t="s">
        <v>298</v>
      </c>
      <c r="D250" s="117" t="s">
        <v>14</v>
      </c>
      <c r="E250" s="117" t="s">
        <v>71</v>
      </c>
      <c r="F250" s="117" t="s">
        <v>299</v>
      </c>
      <c r="G250" s="117" t="s">
        <v>300</v>
      </c>
      <c r="H250" s="117" t="s">
        <v>101</v>
      </c>
      <c r="I250" s="117" t="s">
        <v>301</v>
      </c>
      <c r="J250" s="117" t="s">
        <v>302</v>
      </c>
      <c r="K250" s="117" t="s">
        <v>303</v>
      </c>
      <c r="L250" s="117" t="s">
        <v>96</v>
      </c>
      <c r="M250" s="117" t="s">
        <v>304</v>
      </c>
      <c r="N250" s="118">
        <v>46.001159999999999</v>
      </c>
      <c r="O250" s="111">
        <f t="shared" si="4"/>
        <v>1.150029</v>
      </c>
    </row>
    <row r="251" spans="2:15">
      <c r="B251" s="117" t="s">
        <v>297</v>
      </c>
      <c r="C251" s="117" t="s">
        <v>298</v>
      </c>
      <c r="D251" s="117" t="s">
        <v>14</v>
      </c>
      <c r="E251" s="117" t="s">
        <v>71</v>
      </c>
      <c r="F251" s="117" t="s">
        <v>299</v>
      </c>
      <c r="G251" s="117" t="s">
        <v>300</v>
      </c>
      <c r="H251" s="117" t="s">
        <v>106</v>
      </c>
      <c r="I251" s="117" t="s">
        <v>306</v>
      </c>
      <c r="J251" s="117" t="s">
        <v>302</v>
      </c>
      <c r="K251" s="117" t="s">
        <v>307</v>
      </c>
      <c r="L251" s="117" t="s">
        <v>96</v>
      </c>
      <c r="M251" s="117" t="s">
        <v>304</v>
      </c>
      <c r="N251" s="118">
        <v>55.274389999999997</v>
      </c>
      <c r="O251" s="111">
        <f t="shared" si="4"/>
        <v>1.3818597499999998</v>
      </c>
    </row>
    <row r="252" spans="2:15">
      <c r="B252" s="117" t="s">
        <v>297</v>
      </c>
      <c r="C252" s="117" t="s">
        <v>298</v>
      </c>
      <c r="D252" s="117" t="s">
        <v>13</v>
      </c>
      <c r="E252" s="117" t="s">
        <v>315</v>
      </c>
      <c r="F252" s="117" t="s">
        <v>299</v>
      </c>
      <c r="G252" s="117" t="s">
        <v>305</v>
      </c>
      <c r="H252" s="117" t="s">
        <v>106</v>
      </c>
      <c r="I252" s="117" t="s">
        <v>306</v>
      </c>
      <c r="J252" s="117" t="s">
        <v>302</v>
      </c>
      <c r="K252" s="117" t="s">
        <v>307</v>
      </c>
      <c r="L252" s="117" t="s">
        <v>96</v>
      </c>
      <c r="M252" s="117" t="s">
        <v>304</v>
      </c>
      <c r="N252" s="118">
        <v>4.6255699999999997</v>
      </c>
      <c r="O252" s="111">
        <f t="shared" si="4"/>
        <v>1.3784198599999999</v>
      </c>
    </row>
    <row r="253" spans="2:15">
      <c r="B253" s="117" t="s">
        <v>297</v>
      </c>
      <c r="C253" s="117" t="s">
        <v>298</v>
      </c>
      <c r="D253" s="117" t="s">
        <v>14</v>
      </c>
      <c r="E253" s="117" t="s">
        <v>71</v>
      </c>
      <c r="F253" s="117" t="s">
        <v>299</v>
      </c>
      <c r="G253" s="117" t="s">
        <v>305</v>
      </c>
      <c r="H253" s="117" t="s">
        <v>95</v>
      </c>
      <c r="I253" s="117" t="s">
        <v>301</v>
      </c>
      <c r="J253" s="117" t="s">
        <v>302</v>
      </c>
      <c r="K253" s="117" t="s">
        <v>303</v>
      </c>
      <c r="L253" s="117" t="s">
        <v>96</v>
      </c>
      <c r="M253" s="117" t="s">
        <v>304</v>
      </c>
      <c r="N253" s="118">
        <v>5.5364500000000003</v>
      </c>
      <c r="O253" s="111">
        <f t="shared" si="4"/>
        <v>1.6498621</v>
      </c>
    </row>
    <row r="254" spans="2:15">
      <c r="B254" s="117" t="s">
        <v>297</v>
      </c>
      <c r="C254" s="117" t="s">
        <v>298</v>
      </c>
      <c r="D254" s="117" t="s">
        <v>14</v>
      </c>
      <c r="E254" s="117" t="s">
        <v>71</v>
      </c>
      <c r="F254" s="117" t="s">
        <v>299</v>
      </c>
      <c r="G254" s="117" t="s">
        <v>305</v>
      </c>
      <c r="H254" s="117" t="s">
        <v>106</v>
      </c>
      <c r="I254" s="117" t="s">
        <v>306</v>
      </c>
      <c r="J254" s="117" t="s">
        <v>302</v>
      </c>
      <c r="K254" s="117" t="s">
        <v>307</v>
      </c>
      <c r="L254" s="117" t="s">
        <v>96</v>
      </c>
      <c r="M254" s="117" t="s">
        <v>304</v>
      </c>
      <c r="N254" s="118">
        <v>0.45583000000000001</v>
      </c>
      <c r="O254" s="111">
        <f t="shared" si="4"/>
        <v>0.13583734</v>
      </c>
    </row>
    <row r="255" spans="2:15">
      <c r="B255" s="117" t="s">
        <v>297</v>
      </c>
      <c r="C255" s="117" t="s">
        <v>298</v>
      </c>
      <c r="D255" s="117" t="s">
        <v>314</v>
      </c>
      <c r="E255" s="117" t="s">
        <v>147</v>
      </c>
      <c r="F255" s="117" t="s">
        <v>299</v>
      </c>
      <c r="G255" s="117" t="s">
        <v>300</v>
      </c>
      <c r="H255" s="117" t="s">
        <v>106</v>
      </c>
      <c r="I255" s="117" t="s">
        <v>301</v>
      </c>
      <c r="J255" s="117" t="s">
        <v>302</v>
      </c>
      <c r="K255" s="117" t="s">
        <v>303</v>
      </c>
      <c r="L255" s="117" t="s">
        <v>96</v>
      </c>
      <c r="M255" s="117" t="s">
        <v>304</v>
      </c>
      <c r="N255" s="118">
        <v>1220.3604700000001</v>
      </c>
      <c r="O255" s="111">
        <f t="shared" si="4"/>
        <v>30.509011750000003</v>
      </c>
    </row>
    <row r="256" spans="2:15">
      <c r="B256" s="117" t="s">
        <v>297</v>
      </c>
      <c r="C256" s="117" t="s">
        <v>298</v>
      </c>
      <c r="D256" s="117" t="s">
        <v>21</v>
      </c>
      <c r="E256" s="117" t="s">
        <v>126</v>
      </c>
      <c r="F256" s="117" t="s">
        <v>299</v>
      </c>
      <c r="G256" s="117" t="s">
        <v>305</v>
      </c>
      <c r="H256" s="117" t="s">
        <v>101</v>
      </c>
      <c r="I256" s="117" t="s">
        <v>306</v>
      </c>
      <c r="J256" s="117" t="s">
        <v>302</v>
      </c>
      <c r="K256" s="117" t="s">
        <v>307</v>
      </c>
      <c r="L256" s="117" t="s">
        <v>96</v>
      </c>
      <c r="M256" s="117" t="s">
        <v>304</v>
      </c>
      <c r="N256" s="118">
        <v>0.34881000000000001</v>
      </c>
      <c r="O256" s="111">
        <f t="shared" si="4"/>
        <v>0.10394538</v>
      </c>
    </row>
    <row r="257" spans="2:15">
      <c r="B257" s="117" t="s">
        <v>297</v>
      </c>
      <c r="C257" s="117" t="s">
        <v>298</v>
      </c>
      <c r="D257" s="117" t="s">
        <v>21</v>
      </c>
      <c r="E257" s="117" t="s">
        <v>126</v>
      </c>
      <c r="F257" s="117" t="s">
        <v>299</v>
      </c>
      <c r="G257" s="117" t="s">
        <v>305</v>
      </c>
      <c r="H257" s="117" t="s">
        <v>106</v>
      </c>
      <c r="I257" s="117" t="s">
        <v>306</v>
      </c>
      <c r="J257" s="117" t="s">
        <v>302</v>
      </c>
      <c r="K257" s="117" t="s">
        <v>307</v>
      </c>
      <c r="L257" s="117" t="s">
        <v>96</v>
      </c>
      <c r="M257" s="117" t="s">
        <v>304</v>
      </c>
      <c r="N257" s="118">
        <v>0.37197999999999998</v>
      </c>
      <c r="O257" s="111">
        <f t="shared" si="4"/>
        <v>0.11085004</v>
      </c>
    </row>
    <row r="258" spans="2:15">
      <c r="B258" s="117" t="s">
        <v>297</v>
      </c>
      <c r="C258" s="117" t="s">
        <v>298</v>
      </c>
      <c r="D258" s="117" t="s">
        <v>314</v>
      </c>
      <c r="E258" s="117" t="s">
        <v>147</v>
      </c>
      <c r="F258" s="117" t="s">
        <v>299</v>
      </c>
      <c r="G258" s="117" t="s">
        <v>305</v>
      </c>
      <c r="H258" s="117" t="s">
        <v>95</v>
      </c>
      <c r="I258" s="117" t="s">
        <v>306</v>
      </c>
      <c r="J258" s="117" t="s">
        <v>302</v>
      </c>
      <c r="K258" s="117" t="s">
        <v>307</v>
      </c>
      <c r="L258" s="117" t="s">
        <v>96</v>
      </c>
      <c r="M258" s="117" t="s">
        <v>304</v>
      </c>
      <c r="N258" s="118">
        <v>5.7594200000000004</v>
      </c>
      <c r="O258" s="111">
        <f t="shared" si="4"/>
        <v>1.7163071600000002</v>
      </c>
    </row>
    <row r="259" spans="2:15">
      <c r="B259" s="117" t="s">
        <v>297</v>
      </c>
      <c r="C259" s="117" t="s">
        <v>298</v>
      </c>
      <c r="D259" s="117" t="s">
        <v>13</v>
      </c>
      <c r="E259" s="117" t="s">
        <v>315</v>
      </c>
      <c r="F259" s="117" t="s">
        <v>299</v>
      </c>
      <c r="G259" s="117" t="s">
        <v>300</v>
      </c>
      <c r="H259" s="117" t="s">
        <v>101</v>
      </c>
      <c r="I259" s="117" t="s">
        <v>306</v>
      </c>
      <c r="J259" s="117" t="s">
        <v>302</v>
      </c>
      <c r="K259" s="117" t="s">
        <v>307</v>
      </c>
      <c r="L259" s="117" t="s">
        <v>96</v>
      </c>
      <c r="M259" s="117" t="s">
        <v>304</v>
      </c>
      <c r="N259" s="118">
        <v>1206.1697300000001</v>
      </c>
      <c r="O259" s="111">
        <f t="shared" si="4"/>
        <v>30.154243250000004</v>
      </c>
    </row>
    <row r="260" spans="2:15">
      <c r="B260" s="117" t="s">
        <v>297</v>
      </c>
      <c r="C260" s="117" t="s">
        <v>298</v>
      </c>
      <c r="D260" s="117" t="s">
        <v>314</v>
      </c>
      <c r="E260" s="117" t="s">
        <v>147</v>
      </c>
      <c r="F260" s="117" t="s">
        <v>299</v>
      </c>
      <c r="G260" s="117" t="s">
        <v>305</v>
      </c>
      <c r="H260" s="117" t="s">
        <v>95</v>
      </c>
      <c r="I260" s="117" t="s">
        <v>301</v>
      </c>
      <c r="J260" s="117" t="s">
        <v>302</v>
      </c>
      <c r="K260" s="117" t="s">
        <v>303</v>
      </c>
      <c r="L260" s="117" t="s">
        <v>96</v>
      </c>
      <c r="M260" s="117" t="s">
        <v>304</v>
      </c>
      <c r="N260" s="118">
        <v>69.414460000000005</v>
      </c>
      <c r="O260" s="111">
        <f t="shared" si="4"/>
        <v>20.685509079999999</v>
      </c>
    </row>
    <row r="261" spans="2:15">
      <c r="B261" s="117" t="s">
        <v>297</v>
      </c>
      <c r="C261" s="117" t="s">
        <v>298</v>
      </c>
      <c r="D261" s="117" t="s">
        <v>314</v>
      </c>
      <c r="E261" s="117" t="s">
        <v>147</v>
      </c>
      <c r="F261" s="117" t="s">
        <v>299</v>
      </c>
      <c r="G261" s="117" t="s">
        <v>305</v>
      </c>
      <c r="H261" s="117" t="s">
        <v>101</v>
      </c>
      <c r="I261" s="117" t="s">
        <v>301</v>
      </c>
      <c r="J261" s="117" t="s">
        <v>302</v>
      </c>
      <c r="K261" s="117" t="s">
        <v>303</v>
      </c>
      <c r="L261" s="117" t="s">
        <v>96</v>
      </c>
      <c r="M261" s="117" t="s">
        <v>304</v>
      </c>
      <c r="N261" s="118">
        <v>71.616739999999993</v>
      </c>
      <c r="O261" s="111">
        <f t="shared" si="4"/>
        <v>21.341788519999998</v>
      </c>
    </row>
    <row r="262" spans="2:15">
      <c r="B262" s="117" t="s">
        <v>297</v>
      </c>
      <c r="C262" s="117" t="s">
        <v>298</v>
      </c>
      <c r="D262" s="117" t="s">
        <v>13</v>
      </c>
      <c r="E262" s="117" t="s">
        <v>315</v>
      </c>
      <c r="F262" s="117" t="s">
        <v>299</v>
      </c>
      <c r="G262" s="117" t="s">
        <v>300</v>
      </c>
      <c r="H262" s="117" t="s">
        <v>95</v>
      </c>
      <c r="I262" s="117" t="s">
        <v>306</v>
      </c>
      <c r="J262" s="117" t="s">
        <v>302</v>
      </c>
      <c r="K262" s="117" t="s">
        <v>307</v>
      </c>
      <c r="L262" s="117" t="s">
        <v>96</v>
      </c>
      <c r="M262" s="117" t="s">
        <v>304</v>
      </c>
      <c r="N262" s="118">
        <v>1910.83556</v>
      </c>
      <c r="O262" s="111">
        <f t="shared" si="4"/>
        <v>47.770889000000004</v>
      </c>
    </row>
    <row r="263" spans="2:15">
      <c r="B263" s="117" t="s">
        <v>297</v>
      </c>
      <c r="C263" s="117" t="s">
        <v>298</v>
      </c>
      <c r="D263" s="117" t="s">
        <v>20</v>
      </c>
      <c r="E263" s="117" t="s">
        <v>68</v>
      </c>
      <c r="F263" s="117" t="s">
        <v>299</v>
      </c>
      <c r="G263" s="117" t="s">
        <v>305</v>
      </c>
      <c r="H263" s="117" t="s">
        <v>101</v>
      </c>
      <c r="I263" s="117" t="s">
        <v>306</v>
      </c>
      <c r="J263" s="117" t="s">
        <v>302</v>
      </c>
      <c r="K263" s="117" t="s">
        <v>307</v>
      </c>
      <c r="L263" s="117" t="s">
        <v>96</v>
      </c>
      <c r="M263" s="117" t="s">
        <v>304</v>
      </c>
      <c r="N263" s="118">
        <v>2.81629</v>
      </c>
      <c r="O263" s="111">
        <f t="shared" si="4"/>
        <v>0.83925441999999995</v>
      </c>
    </row>
    <row r="264" spans="2:15">
      <c r="B264" s="117" t="s">
        <v>297</v>
      </c>
      <c r="C264" s="117" t="s">
        <v>298</v>
      </c>
      <c r="D264" s="117" t="s">
        <v>20</v>
      </c>
      <c r="E264" s="117" t="s">
        <v>68</v>
      </c>
      <c r="F264" s="117" t="s">
        <v>299</v>
      </c>
      <c r="G264" s="117" t="s">
        <v>305</v>
      </c>
      <c r="H264" s="117" t="s">
        <v>106</v>
      </c>
      <c r="I264" s="117" t="s">
        <v>306</v>
      </c>
      <c r="J264" s="117" t="s">
        <v>302</v>
      </c>
      <c r="K264" s="117" t="s">
        <v>307</v>
      </c>
      <c r="L264" s="117" t="s">
        <v>96</v>
      </c>
      <c r="M264" s="117" t="s">
        <v>304</v>
      </c>
      <c r="N264" s="118">
        <v>3.17489</v>
      </c>
      <c r="O264" s="111">
        <f t="shared" si="4"/>
        <v>0.94611721999999998</v>
      </c>
    </row>
    <row r="265" spans="2:15">
      <c r="B265" s="117" t="s">
        <v>297</v>
      </c>
      <c r="C265" s="117" t="s">
        <v>298</v>
      </c>
      <c r="D265" s="117" t="s">
        <v>13</v>
      </c>
      <c r="E265" s="117" t="s">
        <v>315</v>
      </c>
      <c r="F265" s="117" t="s">
        <v>299</v>
      </c>
      <c r="G265" s="117" t="s">
        <v>305</v>
      </c>
      <c r="H265" s="117" t="s">
        <v>95</v>
      </c>
      <c r="I265" s="117" t="s">
        <v>301</v>
      </c>
      <c r="J265" s="117" t="s">
        <v>302</v>
      </c>
      <c r="K265" s="117" t="s">
        <v>303</v>
      </c>
      <c r="L265" s="117" t="s">
        <v>96</v>
      </c>
      <c r="M265" s="117" t="s">
        <v>304</v>
      </c>
      <c r="N265" s="118">
        <v>54.731839999999998</v>
      </c>
      <c r="O265" s="111">
        <f t="shared" si="4"/>
        <v>16.310088319999998</v>
      </c>
    </row>
    <row r="266" spans="2:15">
      <c r="B266" s="117" t="s">
        <v>297</v>
      </c>
      <c r="C266" s="117" t="s">
        <v>298</v>
      </c>
      <c r="D266" s="117" t="s">
        <v>13</v>
      </c>
      <c r="E266" s="117" t="s">
        <v>315</v>
      </c>
      <c r="F266" s="117" t="s">
        <v>299</v>
      </c>
      <c r="G266" s="117" t="s">
        <v>305</v>
      </c>
      <c r="H266" s="117" t="s">
        <v>101</v>
      </c>
      <c r="I266" s="117" t="s">
        <v>301</v>
      </c>
      <c r="J266" s="117" t="s">
        <v>302</v>
      </c>
      <c r="K266" s="117" t="s">
        <v>303</v>
      </c>
      <c r="L266" s="117" t="s">
        <v>96</v>
      </c>
      <c r="M266" s="117" t="s">
        <v>304</v>
      </c>
      <c r="N266" s="118">
        <v>52.486179999999997</v>
      </c>
      <c r="O266" s="111">
        <f t="shared" si="4"/>
        <v>15.64088164</v>
      </c>
    </row>
    <row r="267" spans="2:15">
      <c r="B267" s="117" t="s">
        <v>297</v>
      </c>
      <c r="C267" s="117" t="s">
        <v>298</v>
      </c>
      <c r="D267" s="117" t="s">
        <v>19</v>
      </c>
      <c r="E267" s="117" t="s">
        <v>69</v>
      </c>
      <c r="F267" s="117" t="s">
        <v>299</v>
      </c>
      <c r="G267" s="117" t="s">
        <v>305</v>
      </c>
      <c r="H267" s="117" t="s">
        <v>95</v>
      </c>
      <c r="I267" s="117" t="s">
        <v>301</v>
      </c>
      <c r="J267" s="117" t="s">
        <v>302</v>
      </c>
      <c r="K267" s="117" t="s">
        <v>303</v>
      </c>
      <c r="L267" s="117" t="s">
        <v>96</v>
      </c>
      <c r="M267" s="117" t="s">
        <v>304</v>
      </c>
      <c r="N267" s="118">
        <v>7.4661600000000004</v>
      </c>
      <c r="O267" s="111">
        <f t="shared" si="4"/>
        <v>2.2249156800000001</v>
      </c>
    </row>
    <row r="268" spans="2:15">
      <c r="B268" s="117" t="s">
        <v>297</v>
      </c>
      <c r="C268" s="117" t="s">
        <v>298</v>
      </c>
      <c r="D268" s="117" t="s">
        <v>19</v>
      </c>
      <c r="E268" s="117" t="s">
        <v>69</v>
      </c>
      <c r="F268" s="117" t="s">
        <v>299</v>
      </c>
      <c r="G268" s="117" t="s">
        <v>305</v>
      </c>
      <c r="H268" s="117" t="s">
        <v>101</v>
      </c>
      <c r="I268" s="117" t="s">
        <v>301</v>
      </c>
      <c r="J268" s="117" t="s">
        <v>302</v>
      </c>
      <c r="K268" s="117" t="s">
        <v>303</v>
      </c>
      <c r="L268" s="117" t="s">
        <v>96</v>
      </c>
      <c r="M268" s="117" t="s">
        <v>304</v>
      </c>
      <c r="N268" s="118">
        <v>7.2960900000000004</v>
      </c>
      <c r="O268" s="111">
        <f t="shared" si="4"/>
        <v>2.1742348200000001</v>
      </c>
    </row>
    <row r="269" spans="2:15">
      <c r="B269" s="117" t="s">
        <v>297</v>
      </c>
      <c r="C269" s="117" t="s">
        <v>298</v>
      </c>
      <c r="D269" s="117" t="s">
        <v>18</v>
      </c>
      <c r="E269" s="117" t="s">
        <v>70</v>
      </c>
      <c r="F269" s="117" t="s">
        <v>299</v>
      </c>
      <c r="G269" s="117" t="s">
        <v>305</v>
      </c>
      <c r="H269" s="117" t="s">
        <v>101</v>
      </c>
      <c r="I269" s="117" t="s">
        <v>301</v>
      </c>
      <c r="J269" s="117" t="s">
        <v>302</v>
      </c>
      <c r="K269" s="117" t="s">
        <v>303</v>
      </c>
      <c r="L269" s="117" t="s">
        <v>96</v>
      </c>
      <c r="M269" s="117" t="s">
        <v>304</v>
      </c>
      <c r="N269" s="118">
        <v>17.5504</v>
      </c>
      <c r="O269" s="111">
        <f t="shared" si="4"/>
        <v>5.2300192000000001</v>
      </c>
    </row>
    <row r="270" spans="2:15">
      <c r="B270" s="117" t="s">
        <v>297</v>
      </c>
      <c r="C270" s="117" t="s">
        <v>298</v>
      </c>
      <c r="D270" s="117" t="s">
        <v>18</v>
      </c>
      <c r="E270" s="117" t="s">
        <v>70</v>
      </c>
      <c r="F270" s="117" t="s">
        <v>299</v>
      </c>
      <c r="G270" s="117" t="s">
        <v>305</v>
      </c>
      <c r="H270" s="117" t="s">
        <v>101</v>
      </c>
      <c r="I270" s="117" t="s">
        <v>306</v>
      </c>
      <c r="J270" s="117" t="s">
        <v>302</v>
      </c>
      <c r="K270" s="117" t="s">
        <v>307</v>
      </c>
      <c r="L270" s="117" t="s">
        <v>96</v>
      </c>
      <c r="M270" s="117" t="s">
        <v>304</v>
      </c>
      <c r="N270" s="118">
        <v>1.9526399999999999</v>
      </c>
      <c r="O270" s="111">
        <f t="shared" si="4"/>
        <v>0.58188671999999997</v>
      </c>
    </row>
    <row r="271" spans="2:15">
      <c r="B271" s="117" t="s">
        <v>297</v>
      </c>
      <c r="C271" s="117" t="s">
        <v>298</v>
      </c>
      <c r="D271" s="117" t="s">
        <v>16</v>
      </c>
      <c r="E271" s="117" t="s">
        <v>122</v>
      </c>
      <c r="F271" s="117" t="s">
        <v>299</v>
      </c>
      <c r="G271" s="117" t="s">
        <v>305</v>
      </c>
      <c r="H271" s="117" t="s">
        <v>95</v>
      </c>
      <c r="I271" s="117" t="s">
        <v>301</v>
      </c>
      <c r="J271" s="117" t="s">
        <v>302</v>
      </c>
      <c r="K271" s="117" t="s">
        <v>303</v>
      </c>
      <c r="L271" s="117" t="s">
        <v>96</v>
      </c>
      <c r="M271" s="117" t="s">
        <v>304</v>
      </c>
      <c r="N271" s="118">
        <v>11.840529999999999</v>
      </c>
      <c r="O271" s="111">
        <f t="shared" si="4"/>
        <v>3.5284779399999997</v>
      </c>
    </row>
    <row r="272" spans="2:15">
      <c r="B272" s="117" t="s">
        <v>297</v>
      </c>
      <c r="C272" s="117" t="s">
        <v>298</v>
      </c>
      <c r="D272" s="117" t="s">
        <v>15</v>
      </c>
      <c r="E272" s="117" t="s">
        <v>72</v>
      </c>
      <c r="F272" s="117" t="s">
        <v>299</v>
      </c>
      <c r="G272" s="117" t="s">
        <v>300</v>
      </c>
      <c r="H272" s="117" t="s">
        <v>101</v>
      </c>
      <c r="I272" s="117" t="s">
        <v>301</v>
      </c>
      <c r="J272" s="117" t="s">
        <v>302</v>
      </c>
      <c r="K272" s="117" t="s">
        <v>303</v>
      </c>
      <c r="L272" s="117" t="s">
        <v>96</v>
      </c>
      <c r="M272" s="117" t="s">
        <v>304</v>
      </c>
      <c r="N272" s="118">
        <v>46.110100000000003</v>
      </c>
      <c r="O272" s="111">
        <f t="shared" si="4"/>
        <v>1.1527525000000001</v>
      </c>
    </row>
    <row r="273" spans="2:15">
      <c r="B273" s="117" t="s">
        <v>297</v>
      </c>
      <c r="C273" s="117" t="s">
        <v>298</v>
      </c>
      <c r="D273" s="117" t="s">
        <v>15</v>
      </c>
      <c r="E273" s="117" t="s">
        <v>72</v>
      </c>
      <c r="F273" s="117" t="s">
        <v>299</v>
      </c>
      <c r="G273" s="117" t="s">
        <v>300</v>
      </c>
      <c r="H273" s="117" t="s">
        <v>95</v>
      </c>
      <c r="I273" s="117" t="s">
        <v>306</v>
      </c>
      <c r="J273" s="117" t="s">
        <v>302</v>
      </c>
      <c r="K273" s="117" t="s">
        <v>307</v>
      </c>
      <c r="L273" s="117" t="s">
        <v>96</v>
      </c>
      <c r="M273" s="117" t="s">
        <v>304</v>
      </c>
      <c r="N273" s="118">
        <v>29.39547</v>
      </c>
      <c r="O273" s="111">
        <f t="shared" si="4"/>
        <v>0.73488675000000003</v>
      </c>
    </row>
    <row r="274" spans="2:15">
      <c r="B274" s="117" t="s">
        <v>297</v>
      </c>
      <c r="C274" s="117" t="s">
        <v>298</v>
      </c>
      <c r="D274" s="117" t="s">
        <v>15</v>
      </c>
      <c r="E274" s="117" t="s">
        <v>72</v>
      </c>
      <c r="F274" s="117" t="s">
        <v>299</v>
      </c>
      <c r="G274" s="117" t="s">
        <v>305</v>
      </c>
      <c r="H274" s="117" t="s">
        <v>106</v>
      </c>
      <c r="I274" s="117" t="s">
        <v>301</v>
      </c>
      <c r="J274" s="117" t="s">
        <v>302</v>
      </c>
      <c r="K274" s="117" t="s">
        <v>303</v>
      </c>
      <c r="L274" s="117" t="s">
        <v>96</v>
      </c>
      <c r="M274" s="117" t="s">
        <v>304</v>
      </c>
      <c r="N274" s="118">
        <v>1.82243</v>
      </c>
      <c r="O274" s="111">
        <f t="shared" si="4"/>
        <v>0.54308414000000005</v>
      </c>
    </row>
    <row r="275" spans="2:15">
      <c r="B275" s="117" t="s">
        <v>297</v>
      </c>
      <c r="C275" s="117" t="s">
        <v>298</v>
      </c>
      <c r="D275" s="117" t="s">
        <v>14</v>
      </c>
      <c r="E275" s="117" t="s">
        <v>71</v>
      </c>
      <c r="F275" s="117" t="s">
        <v>299</v>
      </c>
      <c r="G275" s="117" t="s">
        <v>305</v>
      </c>
      <c r="H275" s="117" t="s">
        <v>101</v>
      </c>
      <c r="I275" s="117" t="s">
        <v>301</v>
      </c>
      <c r="J275" s="117" t="s">
        <v>302</v>
      </c>
      <c r="K275" s="117" t="s">
        <v>303</v>
      </c>
      <c r="L275" s="117" t="s">
        <v>96</v>
      </c>
      <c r="M275" s="117" t="s">
        <v>304</v>
      </c>
      <c r="N275" s="118">
        <v>5.42624</v>
      </c>
      <c r="O275" s="111">
        <f t="shared" si="4"/>
        <v>1.6170195200000002</v>
      </c>
    </row>
    <row r="276" spans="2:15">
      <c r="B276" s="117" t="s">
        <v>297</v>
      </c>
      <c r="C276" s="117" t="s">
        <v>298</v>
      </c>
      <c r="D276" s="117" t="s">
        <v>14</v>
      </c>
      <c r="E276" s="117" t="s">
        <v>71</v>
      </c>
      <c r="F276" s="117" t="s">
        <v>299</v>
      </c>
      <c r="G276" s="117" t="s">
        <v>305</v>
      </c>
      <c r="H276" s="117" t="s">
        <v>95</v>
      </c>
      <c r="I276" s="117" t="s">
        <v>306</v>
      </c>
      <c r="J276" s="117" t="s">
        <v>302</v>
      </c>
      <c r="K276" s="117" t="s">
        <v>307</v>
      </c>
      <c r="L276" s="117" t="s">
        <v>96</v>
      </c>
      <c r="M276" s="117" t="s">
        <v>304</v>
      </c>
      <c r="N276" s="118">
        <v>0.37374000000000002</v>
      </c>
      <c r="O276" s="111">
        <f t="shared" si="4"/>
        <v>0.11137452</v>
      </c>
    </row>
    <row r="277" spans="2:15">
      <c r="B277" s="117" t="s">
        <v>297</v>
      </c>
      <c r="C277" s="117" t="s">
        <v>298</v>
      </c>
      <c r="D277" s="117" t="s">
        <v>314</v>
      </c>
      <c r="E277" s="117" t="s">
        <v>147</v>
      </c>
      <c r="F277" s="117" t="s">
        <v>299</v>
      </c>
      <c r="G277" s="117" t="s">
        <v>300</v>
      </c>
      <c r="H277" s="117" t="s">
        <v>95</v>
      </c>
      <c r="I277" s="117" t="s">
        <v>301</v>
      </c>
      <c r="J277" s="117" t="s">
        <v>302</v>
      </c>
      <c r="K277" s="117" t="s">
        <v>303</v>
      </c>
      <c r="L277" s="117" t="s">
        <v>96</v>
      </c>
      <c r="M277" s="117" t="s">
        <v>304</v>
      </c>
      <c r="N277" s="118">
        <v>881.46930999999995</v>
      </c>
      <c r="O277" s="111">
        <f t="shared" si="4"/>
        <v>22.036732749999999</v>
      </c>
    </row>
    <row r="278" spans="2:15">
      <c r="B278" s="117" t="s">
        <v>297</v>
      </c>
      <c r="C278" s="117" t="s">
        <v>298</v>
      </c>
      <c r="D278" s="117" t="s">
        <v>314</v>
      </c>
      <c r="E278" s="117" t="s">
        <v>147</v>
      </c>
      <c r="F278" s="117" t="s">
        <v>299</v>
      </c>
      <c r="G278" s="117" t="s">
        <v>305</v>
      </c>
      <c r="H278" s="117" t="s">
        <v>106</v>
      </c>
      <c r="I278" s="117" t="s">
        <v>301</v>
      </c>
      <c r="J278" s="117" t="s">
        <v>302</v>
      </c>
      <c r="K278" s="117" t="s">
        <v>303</v>
      </c>
      <c r="L278" s="117" t="s">
        <v>96</v>
      </c>
      <c r="M278" s="117" t="s">
        <v>304</v>
      </c>
      <c r="N278" s="118">
        <v>87.592339999999993</v>
      </c>
      <c r="O278" s="111">
        <f t="shared" si="4"/>
        <v>26.10251732</v>
      </c>
    </row>
    <row r="279" spans="2:15">
      <c r="B279" s="117" t="s">
        <v>297</v>
      </c>
      <c r="C279" s="117" t="s">
        <v>298</v>
      </c>
      <c r="D279" s="117" t="s">
        <v>48</v>
      </c>
      <c r="E279" s="117" t="s">
        <v>120</v>
      </c>
      <c r="F279" s="117" t="s">
        <v>299</v>
      </c>
      <c r="G279" s="117" t="s">
        <v>300</v>
      </c>
      <c r="H279" s="117" t="s">
        <v>106</v>
      </c>
      <c r="I279" s="117" t="s">
        <v>306</v>
      </c>
      <c r="J279" s="117" t="s">
        <v>302</v>
      </c>
      <c r="K279" s="117" t="s">
        <v>307</v>
      </c>
      <c r="L279" s="117" t="s">
        <v>96</v>
      </c>
      <c r="M279" s="117" t="s">
        <v>304</v>
      </c>
      <c r="N279" s="118">
        <v>55.931959999999997</v>
      </c>
      <c r="O279" s="111">
        <f t="shared" si="4"/>
        <v>1.398299</v>
      </c>
    </row>
    <row r="280" spans="2:15">
      <c r="B280" s="117" t="s">
        <v>297</v>
      </c>
      <c r="C280" s="117" t="s">
        <v>298</v>
      </c>
      <c r="D280" s="117" t="s">
        <v>46</v>
      </c>
      <c r="E280" s="117" t="s">
        <v>108</v>
      </c>
      <c r="F280" s="117" t="s">
        <v>299</v>
      </c>
      <c r="G280" s="117" t="s">
        <v>300</v>
      </c>
      <c r="H280" s="117" t="s">
        <v>95</v>
      </c>
      <c r="I280" s="117" t="s">
        <v>301</v>
      </c>
      <c r="J280" s="117" t="s">
        <v>302</v>
      </c>
      <c r="K280" s="117" t="s">
        <v>303</v>
      </c>
      <c r="L280" s="117" t="s">
        <v>96</v>
      </c>
      <c r="M280" s="117" t="s">
        <v>304</v>
      </c>
      <c r="N280" s="118">
        <v>232.98582999999999</v>
      </c>
      <c r="O280" s="111">
        <f t="shared" si="4"/>
        <v>5.8246457499999993</v>
      </c>
    </row>
    <row r="281" spans="2:15">
      <c r="B281" s="117" t="s">
        <v>297</v>
      </c>
      <c r="C281" s="117" t="s">
        <v>298</v>
      </c>
      <c r="D281" s="117" t="s">
        <v>46</v>
      </c>
      <c r="E281" s="117" t="s">
        <v>108</v>
      </c>
      <c r="F281" s="117" t="s">
        <v>299</v>
      </c>
      <c r="G281" s="117" t="s">
        <v>300</v>
      </c>
      <c r="H281" s="117" t="s">
        <v>95</v>
      </c>
      <c r="I281" s="117" t="s">
        <v>306</v>
      </c>
      <c r="J281" s="117" t="s">
        <v>302</v>
      </c>
      <c r="K281" s="117" t="s">
        <v>307</v>
      </c>
      <c r="L281" s="117" t="s">
        <v>96</v>
      </c>
      <c r="M281" s="117" t="s">
        <v>304</v>
      </c>
      <c r="N281" s="118">
        <v>94.262420000000006</v>
      </c>
      <c r="O281" s="111">
        <f t="shared" si="4"/>
        <v>2.3565605000000001</v>
      </c>
    </row>
    <row r="282" spans="2:15">
      <c r="B282" s="117" t="s">
        <v>297</v>
      </c>
      <c r="C282" s="117" t="s">
        <v>298</v>
      </c>
      <c r="D282" s="117" t="s">
        <v>48</v>
      </c>
      <c r="E282" s="117" t="s">
        <v>120</v>
      </c>
      <c r="F282" s="117" t="s">
        <v>299</v>
      </c>
      <c r="G282" s="117" t="s">
        <v>305</v>
      </c>
      <c r="H282" s="117" t="s">
        <v>95</v>
      </c>
      <c r="I282" s="117" t="s">
        <v>306</v>
      </c>
      <c r="J282" s="117" t="s">
        <v>302</v>
      </c>
      <c r="K282" s="117" t="s">
        <v>307</v>
      </c>
      <c r="L282" s="117" t="s">
        <v>96</v>
      </c>
      <c r="M282" s="117" t="s">
        <v>304</v>
      </c>
      <c r="N282" s="118">
        <v>0.79800000000000004</v>
      </c>
      <c r="O282" s="111">
        <f t="shared" si="4"/>
        <v>0.23780400000000002</v>
      </c>
    </row>
    <row r="283" spans="2:15">
      <c r="B283" s="117" t="s">
        <v>297</v>
      </c>
      <c r="C283" s="117" t="s">
        <v>298</v>
      </c>
      <c r="D283" s="117" t="s">
        <v>46</v>
      </c>
      <c r="E283" s="117" t="s">
        <v>108</v>
      </c>
      <c r="F283" s="117" t="s">
        <v>299</v>
      </c>
      <c r="G283" s="117" t="s">
        <v>305</v>
      </c>
      <c r="H283" s="117" t="s">
        <v>95</v>
      </c>
      <c r="I283" s="117" t="s">
        <v>301</v>
      </c>
      <c r="J283" s="117" t="s">
        <v>302</v>
      </c>
      <c r="K283" s="117" t="s">
        <v>303</v>
      </c>
      <c r="L283" s="117" t="s">
        <v>96</v>
      </c>
      <c r="M283" s="117" t="s">
        <v>304</v>
      </c>
      <c r="N283" s="118">
        <v>14.553649999999999</v>
      </c>
      <c r="O283" s="111">
        <f t="shared" si="4"/>
        <v>4.3369876999999999</v>
      </c>
    </row>
    <row r="284" spans="2:15">
      <c r="B284" s="117" t="s">
        <v>297</v>
      </c>
      <c r="C284" s="117" t="s">
        <v>298</v>
      </c>
      <c r="D284" s="117" t="s">
        <v>45</v>
      </c>
      <c r="E284" s="117" t="s">
        <v>61</v>
      </c>
      <c r="F284" s="117" t="s">
        <v>299</v>
      </c>
      <c r="G284" s="117" t="s">
        <v>300</v>
      </c>
      <c r="H284" s="117" t="s">
        <v>95</v>
      </c>
      <c r="I284" s="117" t="s">
        <v>301</v>
      </c>
      <c r="J284" s="117" t="s">
        <v>302</v>
      </c>
      <c r="K284" s="117" t="s">
        <v>303</v>
      </c>
      <c r="L284" s="117" t="s">
        <v>96</v>
      </c>
      <c r="M284" s="117" t="s">
        <v>304</v>
      </c>
      <c r="N284" s="118">
        <v>82.92313</v>
      </c>
      <c r="O284" s="111">
        <f t="shared" si="4"/>
        <v>2.07307825</v>
      </c>
    </row>
    <row r="285" spans="2:15">
      <c r="B285" s="117" t="s">
        <v>297</v>
      </c>
      <c r="C285" s="117" t="s">
        <v>298</v>
      </c>
      <c r="D285" s="117" t="s">
        <v>45</v>
      </c>
      <c r="E285" s="117" t="s">
        <v>61</v>
      </c>
      <c r="F285" s="117" t="s">
        <v>299</v>
      </c>
      <c r="G285" s="117" t="s">
        <v>300</v>
      </c>
      <c r="H285" s="117" t="s">
        <v>95</v>
      </c>
      <c r="I285" s="117" t="s">
        <v>306</v>
      </c>
      <c r="J285" s="117" t="s">
        <v>302</v>
      </c>
      <c r="K285" s="117" t="s">
        <v>307</v>
      </c>
      <c r="L285" s="117" t="s">
        <v>96</v>
      </c>
      <c r="M285" s="117" t="s">
        <v>304</v>
      </c>
      <c r="N285" s="118">
        <v>207.26604</v>
      </c>
      <c r="O285" s="111">
        <f t="shared" si="4"/>
        <v>5.1816509999999996</v>
      </c>
    </row>
    <row r="286" spans="2:15">
      <c r="B286" s="117" t="s">
        <v>297</v>
      </c>
      <c r="C286" s="117" t="s">
        <v>298</v>
      </c>
      <c r="D286" s="117" t="s">
        <v>45</v>
      </c>
      <c r="E286" s="117" t="s">
        <v>61</v>
      </c>
      <c r="F286" s="117" t="s">
        <v>299</v>
      </c>
      <c r="G286" s="117" t="s">
        <v>305</v>
      </c>
      <c r="H286" s="117" t="s">
        <v>95</v>
      </c>
      <c r="I286" s="117" t="s">
        <v>301</v>
      </c>
      <c r="J286" s="117" t="s">
        <v>302</v>
      </c>
      <c r="K286" s="117" t="s">
        <v>303</v>
      </c>
      <c r="L286" s="117" t="s">
        <v>96</v>
      </c>
      <c r="M286" s="117" t="s">
        <v>304</v>
      </c>
      <c r="N286" s="118">
        <v>9.6258400000000002</v>
      </c>
      <c r="O286" s="111">
        <f t="shared" si="4"/>
        <v>2.8685003199999999</v>
      </c>
    </row>
    <row r="287" spans="2:15">
      <c r="B287" s="117" t="s">
        <v>297</v>
      </c>
      <c r="C287" s="117" t="s">
        <v>298</v>
      </c>
      <c r="D287" s="117" t="s">
        <v>44</v>
      </c>
      <c r="E287" s="117" t="s">
        <v>127</v>
      </c>
      <c r="F287" s="117" t="s">
        <v>299</v>
      </c>
      <c r="G287" s="117" t="s">
        <v>300</v>
      </c>
      <c r="H287" s="117" t="s">
        <v>101</v>
      </c>
      <c r="I287" s="117" t="s">
        <v>301</v>
      </c>
      <c r="J287" s="117" t="s">
        <v>302</v>
      </c>
      <c r="K287" s="117" t="s">
        <v>303</v>
      </c>
      <c r="L287" s="117" t="s">
        <v>96</v>
      </c>
      <c r="M287" s="117" t="s">
        <v>304</v>
      </c>
      <c r="N287" s="118">
        <v>167.88603000000001</v>
      </c>
      <c r="O287" s="111">
        <f t="shared" si="4"/>
        <v>4.1971507499999996</v>
      </c>
    </row>
    <row r="288" spans="2:15">
      <c r="B288" s="117" t="s">
        <v>297</v>
      </c>
      <c r="C288" s="117" t="s">
        <v>298</v>
      </c>
      <c r="D288" s="117" t="s">
        <v>44</v>
      </c>
      <c r="E288" s="117" t="s">
        <v>127</v>
      </c>
      <c r="F288" s="117" t="s">
        <v>299</v>
      </c>
      <c r="G288" s="117" t="s">
        <v>300</v>
      </c>
      <c r="H288" s="117" t="s">
        <v>106</v>
      </c>
      <c r="I288" s="117" t="s">
        <v>301</v>
      </c>
      <c r="J288" s="117" t="s">
        <v>302</v>
      </c>
      <c r="K288" s="117" t="s">
        <v>303</v>
      </c>
      <c r="L288" s="117" t="s">
        <v>96</v>
      </c>
      <c r="M288" s="117" t="s">
        <v>304</v>
      </c>
      <c r="N288" s="118">
        <v>166.11565999999999</v>
      </c>
      <c r="O288" s="111">
        <f t="shared" ref="O288:O351" si="5">IF(G288="CH4",N288*25,N288*298)/1000</f>
        <v>4.1528915</v>
      </c>
    </row>
    <row r="289" spans="2:15">
      <c r="B289" s="117" t="s">
        <v>297</v>
      </c>
      <c r="C289" s="117" t="s">
        <v>298</v>
      </c>
      <c r="D289" s="117" t="s">
        <v>44</v>
      </c>
      <c r="E289" s="117" t="s">
        <v>127</v>
      </c>
      <c r="F289" s="117" t="s">
        <v>299</v>
      </c>
      <c r="G289" s="117" t="s">
        <v>305</v>
      </c>
      <c r="H289" s="117" t="s">
        <v>106</v>
      </c>
      <c r="I289" s="117" t="s">
        <v>301</v>
      </c>
      <c r="J289" s="117" t="s">
        <v>302</v>
      </c>
      <c r="K289" s="117" t="s">
        <v>303</v>
      </c>
      <c r="L289" s="117" t="s">
        <v>96</v>
      </c>
      <c r="M289" s="117" t="s">
        <v>304</v>
      </c>
      <c r="N289" s="118">
        <v>6.2996699999999999</v>
      </c>
      <c r="O289" s="111">
        <f t="shared" si="5"/>
        <v>1.8773016599999999</v>
      </c>
    </row>
    <row r="290" spans="2:15">
      <c r="B290" s="117" t="s">
        <v>297</v>
      </c>
      <c r="C290" s="117" t="s">
        <v>298</v>
      </c>
      <c r="D290" s="117" t="s">
        <v>43</v>
      </c>
      <c r="E290" s="117" t="s">
        <v>116</v>
      </c>
      <c r="F290" s="117" t="s">
        <v>299</v>
      </c>
      <c r="G290" s="117" t="s">
        <v>300</v>
      </c>
      <c r="H290" s="117" t="s">
        <v>101</v>
      </c>
      <c r="I290" s="117" t="s">
        <v>306</v>
      </c>
      <c r="J290" s="117" t="s">
        <v>302</v>
      </c>
      <c r="K290" s="117" t="s">
        <v>307</v>
      </c>
      <c r="L290" s="117" t="s">
        <v>96</v>
      </c>
      <c r="M290" s="117" t="s">
        <v>304</v>
      </c>
      <c r="N290" s="118">
        <v>19.32095</v>
      </c>
      <c r="O290" s="111">
        <f t="shared" si="5"/>
        <v>0.48302375000000003</v>
      </c>
    </row>
    <row r="291" spans="2:15">
      <c r="B291" s="117" t="s">
        <v>297</v>
      </c>
      <c r="C291" s="117" t="s">
        <v>298</v>
      </c>
      <c r="D291" s="117" t="s">
        <v>46</v>
      </c>
      <c r="E291" s="117" t="s">
        <v>108</v>
      </c>
      <c r="F291" s="117" t="s">
        <v>299</v>
      </c>
      <c r="G291" s="117" t="s">
        <v>305</v>
      </c>
      <c r="H291" s="117" t="s">
        <v>101</v>
      </c>
      <c r="I291" s="117" t="s">
        <v>301</v>
      </c>
      <c r="J291" s="117" t="s">
        <v>302</v>
      </c>
      <c r="K291" s="117" t="s">
        <v>303</v>
      </c>
      <c r="L291" s="117" t="s">
        <v>96</v>
      </c>
      <c r="M291" s="117" t="s">
        <v>304</v>
      </c>
      <c r="N291" s="118">
        <v>14.035589999999999</v>
      </c>
      <c r="O291" s="111">
        <f t="shared" si="5"/>
        <v>4.18260582</v>
      </c>
    </row>
    <row r="292" spans="2:15">
      <c r="B292" s="117" t="s">
        <v>297</v>
      </c>
      <c r="C292" s="117" t="s">
        <v>298</v>
      </c>
      <c r="D292" s="117" t="s">
        <v>42</v>
      </c>
      <c r="E292" s="117" t="s">
        <v>63</v>
      </c>
      <c r="F292" s="117" t="s">
        <v>299</v>
      </c>
      <c r="G292" s="117" t="s">
        <v>300</v>
      </c>
      <c r="H292" s="117" t="s">
        <v>106</v>
      </c>
      <c r="I292" s="117" t="s">
        <v>301</v>
      </c>
      <c r="J292" s="117" t="s">
        <v>302</v>
      </c>
      <c r="K292" s="117" t="s">
        <v>303</v>
      </c>
      <c r="L292" s="117" t="s">
        <v>96</v>
      </c>
      <c r="M292" s="117" t="s">
        <v>304</v>
      </c>
      <c r="N292" s="118">
        <v>146.697</v>
      </c>
      <c r="O292" s="111">
        <f t="shared" si="5"/>
        <v>3.6674250000000002</v>
      </c>
    </row>
    <row r="293" spans="2:15">
      <c r="B293" s="117" t="s">
        <v>297</v>
      </c>
      <c r="C293" s="117" t="s">
        <v>298</v>
      </c>
      <c r="D293" s="117" t="s">
        <v>42</v>
      </c>
      <c r="E293" s="117" t="s">
        <v>63</v>
      </c>
      <c r="F293" s="117" t="s">
        <v>299</v>
      </c>
      <c r="G293" s="117" t="s">
        <v>300</v>
      </c>
      <c r="H293" s="117" t="s">
        <v>106</v>
      </c>
      <c r="I293" s="117" t="s">
        <v>306</v>
      </c>
      <c r="J293" s="117" t="s">
        <v>302</v>
      </c>
      <c r="K293" s="117" t="s">
        <v>307</v>
      </c>
      <c r="L293" s="117" t="s">
        <v>96</v>
      </c>
      <c r="M293" s="117" t="s">
        <v>304</v>
      </c>
      <c r="N293" s="118">
        <v>195.19015999999999</v>
      </c>
      <c r="O293" s="111">
        <f t="shared" si="5"/>
        <v>4.8797540000000001</v>
      </c>
    </row>
    <row r="294" spans="2:15">
      <c r="B294" s="117" t="s">
        <v>297</v>
      </c>
      <c r="C294" s="117" t="s">
        <v>298</v>
      </c>
      <c r="D294" s="117" t="s">
        <v>42</v>
      </c>
      <c r="E294" s="117" t="s">
        <v>63</v>
      </c>
      <c r="F294" s="117" t="s">
        <v>299</v>
      </c>
      <c r="G294" s="117" t="s">
        <v>305</v>
      </c>
      <c r="H294" s="117" t="s">
        <v>95</v>
      </c>
      <c r="I294" s="117" t="s">
        <v>301</v>
      </c>
      <c r="J294" s="117" t="s">
        <v>302</v>
      </c>
      <c r="K294" s="117" t="s">
        <v>303</v>
      </c>
      <c r="L294" s="117" t="s">
        <v>96</v>
      </c>
      <c r="M294" s="117" t="s">
        <v>304</v>
      </c>
      <c r="N294" s="118">
        <v>14.34904</v>
      </c>
      <c r="O294" s="111">
        <f t="shared" si="5"/>
        <v>4.2760139200000005</v>
      </c>
    </row>
    <row r="295" spans="2:15">
      <c r="B295" s="117" t="s">
        <v>297</v>
      </c>
      <c r="C295" s="117" t="s">
        <v>298</v>
      </c>
      <c r="D295" s="117" t="s">
        <v>41</v>
      </c>
      <c r="E295" s="117" t="s">
        <v>110</v>
      </c>
      <c r="F295" s="117" t="s">
        <v>299</v>
      </c>
      <c r="G295" s="117" t="s">
        <v>300</v>
      </c>
      <c r="H295" s="117" t="s">
        <v>101</v>
      </c>
      <c r="I295" s="117" t="s">
        <v>301</v>
      </c>
      <c r="J295" s="117" t="s">
        <v>302</v>
      </c>
      <c r="K295" s="117" t="s">
        <v>303</v>
      </c>
      <c r="L295" s="117" t="s">
        <v>96</v>
      </c>
      <c r="M295" s="117" t="s">
        <v>304</v>
      </c>
      <c r="N295" s="118">
        <v>1272.5136500000001</v>
      </c>
      <c r="O295" s="111">
        <f t="shared" si="5"/>
        <v>31.812841250000002</v>
      </c>
    </row>
    <row r="296" spans="2:15">
      <c r="B296" s="117" t="s">
        <v>297</v>
      </c>
      <c r="C296" s="117" t="s">
        <v>298</v>
      </c>
      <c r="D296" s="117" t="s">
        <v>41</v>
      </c>
      <c r="E296" s="117" t="s">
        <v>110</v>
      </c>
      <c r="F296" s="117" t="s">
        <v>299</v>
      </c>
      <c r="G296" s="117" t="s">
        <v>300</v>
      </c>
      <c r="H296" s="117" t="s">
        <v>106</v>
      </c>
      <c r="I296" s="117" t="s">
        <v>306</v>
      </c>
      <c r="J296" s="117" t="s">
        <v>302</v>
      </c>
      <c r="K296" s="117" t="s">
        <v>307</v>
      </c>
      <c r="L296" s="117" t="s">
        <v>96</v>
      </c>
      <c r="M296" s="117" t="s">
        <v>304</v>
      </c>
      <c r="N296" s="118">
        <v>414.31027</v>
      </c>
      <c r="O296" s="111">
        <f t="shared" si="5"/>
        <v>10.35775675</v>
      </c>
    </row>
    <row r="297" spans="2:15">
      <c r="B297" s="117" t="s">
        <v>297</v>
      </c>
      <c r="C297" s="117" t="s">
        <v>298</v>
      </c>
      <c r="D297" s="117" t="s">
        <v>40</v>
      </c>
      <c r="E297" s="117" t="s">
        <v>109</v>
      </c>
      <c r="F297" s="117" t="s">
        <v>299</v>
      </c>
      <c r="G297" s="117" t="s">
        <v>300</v>
      </c>
      <c r="H297" s="117" t="s">
        <v>95</v>
      </c>
      <c r="I297" s="117" t="s">
        <v>301</v>
      </c>
      <c r="J297" s="117" t="s">
        <v>302</v>
      </c>
      <c r="K297" s="117" t="s">
        <v>303</v>
      </c>
      <c r="L297" s="117" t="s">
        <v>96</v>
      </c>
      <c r="M297" s="117" t="s">
        <v>304</v>
      </c>
      <c r="N297" s="118">
        <v>227.29526000000001</v>
      </c>
      <c r="O297" s="111">
        <f t="shared" si="5"/>
        <v>5.6823815</v>
      </c>
    </row>
    <row r="298" spans="2:15">
      <c r="B298" s="117" t="s">
        <v>297</v>
      </c>
      <c r="C298" s="117" t="s">
        <v>298</v>
      </c>
      <c r="D298" s="117" t="s">
        <v>40</v>
      </c>
      <c r="E298" s="117" t="s">
        <v>109</v>
      </c>
      <c r="F298" s="117" t="s">
        <v>299</v>
      </c>
      <c r="G298" s="117" t="s">
        <v>300</v>
      </c>
      <c r="H298" s="117" t="s">
        <v>106</v>
      </c>
      <c r="I298" s="117" t="s">
        <v>306</v>
      </c>
      <c r="J298" s="117" t="s">
        <v>302</v>
      </c>
      <c r="K298" s="117" t="s">
        <v>307</v>
      </c>
      <c r="L298" s="117" t="s">
        <v>96</v>
      </c>
      <c r="M298" s="117" t="s">
        <v>304</v>
      </c>
      <c r="N298" s="118">
        <v>38.210929999999998</v>
      </c>
      <c r="O298" s="111">
        <f t="shared" si="5"/>
        <v>0.95527324999999996</v>
      </c>
    </row>
    <row r="299" spans="2:15">
      <c r="B299" s="117" t="s">
        <v>297</v>
      </c>
      <c r="C299" s="117" t="s">
        <v>298</v>
      </c>
      <c r="D299" s="117" t="s">
        <v>45</v>
      </c>
      <c r="E299" s="117" t="s">
        <v>61</v>
      </c>
      <c r="F299" s="117" t="s">
        <v>299</v>
      </c>
      <c r="G299" s="117" t="s">
        <v>300</v>
      </c>
      <c r="H299" s="117" t="s">
        <v>101</v>
      </c>
      <c r="I299" s="117" t="s">
        <v>301</v>
      </c>
      <c r="J299" s="117" t="s">
        <v>302</v>
      </c>
      <c r="K299" s="117" t="s">
        <v>303</v>
      </c>
      <c r="L299" s="117" t="s">
        <v>96</v>
      </c>
      <c r="M299" s="117" t="s">
        <v>304</v>
      </c>
      <c r="N299" s="118">
        <v>73.211600000000004</v>
      </c>
      <c r="O299" s="111">
        <f t="shared" si="5"/>
        <v>1.8302900000000002</v>
      </c>
    </row>
    <row r="300" spans="2:15">
      <c r="B300" s="117" t="s">
        <v>297</v>
      </c>
      <c r="C300" s="117" t="s">
        <v>298</v>
      </c>
      <c r="D300" s="117" t="s">
        <v>45</v>
      </c>
      <c r="E300" s="117" t="s">
        <v>61</v>
      </c>
      <c r="F300" s="117" t="s">
        <v>299</v>
      </c>
      <c r="G300" s="117" t="s">
        <v>300</v>
      </c>
      <c r="H300" s="117" t="s">
        <v>106</v>
      </c>
      <c r="I300" s="117" t="s">
        <v>301</v>
      </c>
      <c r="J300" s="117" t="s">
        <v>302</v>
      </c>
      <c r="K300" s="117" t="s">
        <v>303</v>
      </c>
      <c r="L300" s="117" t="s">
        <v>96</v>
      </c>
      <c r="M300" s="117" t="s">
        <v>304</v>
      </c>
      <c r="N300" s="118">
        <v>71.392489999999995</v>
      </c>
      <c r="O300" s="111">
        <f t="shared" si="5"/>
        <v>1.7848122499999999</v>
      </c>
    </row>
    <row r="301" spans="2:15">
      <c r="B301" s="117" t="s">
        <v>297</v>
      </c>
      <c r="C301" s="117" t="s">
        <v>298</v>
      </c>
      <c r="D301" s="117" t="s">
        <v>39</v>
      </c>
      <c r="E301" s="117" t="s">
        <v>64</v>
      </c>
      <c r="F301" s="117" t="s">
        <v>299</v>
      </c>
      <c r="G301" s="117" t="s">
        <v>300</v>
      </c>
      <c r="H301" s="117" t="s">
        <v>95</v>
      </c>
      <c r="I301" s="117" t="s">
        <v>301</v>
      </c>
      <c r="J301" s="117" t="s">
        <v>302</v>
      </c>
      <c r="K301" s="117" t="s">
        <v>303</v>
      </c>
      <c r="L301" s="117" t="s">
        <v>96</v>
      </c>
      <c r="M301" s="117" t="s">
        <v>304</v>
      </c>
      <c r="N301" s="118">
        <v>22.98057</v>
      </c>
      <c r="O301" s="111">
        <f t="shared" si="5"/>
        <v>0.57451424999999989</v>
      </c>
    </row>
    <row r="302" spans="2:15">
      <c r="B302" s="117" t="s">
        <v>297</v>
      </c>
      <c r="C302" s="117" t="s">
        <v>298</v>
      </c>
      <c r="D302" s="117" t="s">
        <v>39</v>
      </c>
      <c r="E302" s="117" t="s">
        <v>64</v>
      </c>
      <c r="F302" s="117" t="s">
        <v>299</v>
      </c>
      <c r="G302" s="117" t="s">
        <v>305</v>
      </c>
      <c r="H302" s="117" t="s">
        <v>106</v>
      </c>
      <c r="I302" s="117" t="s">
        <v>306</v>
      </c>
      <c r="J302" s="117" t="s">
        <v>302</v>
      </c>
      <c r="K302" s="117" t="s">
        <v>307</v>
      </c>
      <c r="L302" s="117" t="s">
        <v>96</v>
      </c>
      <c r="M302" s="117" t="s">
        <v>304</v>
      </c>
      <c r="N302" s="118">
        <v>0.14069000000000001</v>
      </c>
      <c r="O302" s="111">
        <f t="shared" si="5"/>
        <v>4.1925620000000004E-2</v>
      </c>
    </row>
    <row r="303" spans="2:15">
      <c r="B303" s="117" t="s">
        <v>297</v>
      </c>
      <c r="C303" s="117" t="s">
        <v>298</v>
      </c>
      <c r="D303" s="117" t="s">
        <v>37</v>
      </c>
      <c r="E303" s="117" t="s">
        <v>113</v>
      </c>
      <c r="F303" s="117" t="s">
        <v>299</v>
      </c>
      <c r="G303" s="117" t="s">
        <v>300</v>
      </c>
      <c r="H303" s="117" t="s">
        <v>101</v>
      </c>
      <c r="I303" s="117" t="s">
        <v>301</v>
      </c>
      <c r="J303" s="117" t="s">
        <v>302</v>
      </c>
      <c r="K303" s="117" t="s">
        <v>303</v>
      </c>
      <c r="L303" s="117" t="s">
        <v>96</v>
      </c>
      <c r="M303" s="117" t="s">
        <v>304</v>
      </c>
      <c r="N303" s="118">
        <v>918.13809000000003</v>
      </c>
      <c r="O303" s="111">
        <f t="shared" si="5"/>
        <v>22.953452250000002</v>
      </c>
    </row>
    <row r="304" spans="2:15">
      <c r="B304" s="117" t="s">
        <v>297</v>
      </c>
      <c r="C304" s="117" t="s">
        <v>298</v>
      </c>
      <c r="D304" s="117" t="s">
        <v>37</v>
      </c>
      <c r="E304" s="117" t="s">
        <v>113</v>
      </c>
      <c r="F304" s="117" t="s">
        <v>299</v>
      </c>
      <c r="G304" s="117" t="s">
        <v>300</v>
      </c>
      <c r="H304" s="117" t="s">
        <v>106</v>
      </c>
      <c r="I304" s="117" t="s">
        <v>301</v>
      </c>
      <c r="J304" s="117" t="s">
        <v>302</v>
      </c>
      <c r="K304" s="117" t="s">
        <v>303</v>
      </c>
      <c r="L304" s="117" t="s">
        <v>96</v>
      </c>
      <c r="M304" s="117" t="s">
        <v>304</v>
      </c>
      <c r="N304" s="118">
        <v>934.74793999999997</v>
      </c>
      <c r="O304" s="111">
        <f t="shared" si="5"/>
        <v>23.368698499999997</v>
      </c>
    </row>
    <row r="305" spans="2:15">
      <c r="B305" s="117" t="s">
        <v>297</v>
      </c>
      <c r="C305" s="117" t="s">
        <v>298</v>
      </c>
      <c r="D305" s="117" t="s">
        <v>45</v>
      </c>
      <c r="E305" s="117" t="s">
        <v>61</v>
      </c>
      <c r="F305" s="117" t="s">
        <v>299</v>
      </c>
      <c r="G305" s="117" t="s">
        <v>305</v>
      </c>
      <c r="H305" s="117" t="s">
        <v>101</v>
      </c>
      <c r="I305" s="117" t="s">
        <v>301</v>
      </c>
      <c r="J305" s="117" t="s">
        <v>302</v>
      </c>
      <c r="K305" s="117" t="s">
        <v>303</v>
      </c>
      <c r="L305" s="117" t="s">
        <v>96</v>
      </c>
      <c r="M305" s="117" t="s">
        <v>304</v>
      </c>
      <c r="N305" s="118">
        <v>11.3986</v>
      </c>
      <c r="O305" s="111">
        <f t="shared" si="5"/>
        <v>3.3967828</v>
      </c>
    </row>
    <row r="306" spans="2:15">
      <c r="B306" s="117" t="s">
        <v>297</v>
      </c>
      <c r="C306" s="117" t="s">
        <v>298</v>
      </c>
      <c r="D306" s="117" t="s">
        <v>37</v>
      </c>
      <c r="E306" s="117" t="s">
        <v>113</v>
      </c>
      <c r="F306" s="117" t="s">
        <v>299</v>
      </c>
      <c r="G306" s="117" t="s">
        <v>305</v>
      </c>
      <c r="H306" s="117" t="s">
        <v>101</v>
      </c>
      <c r="I306" s="117" t="s">
        <v>306</v>
      </c>
      <c r="J306" s="117" t="s">
        <v>302</v>
      </c>
      <c r="K306" s="117" t="s">
        <v>307</v>
      </c>
      <c r="L306" s="117" t="s">
        <v>96</v>
      </c>
      <c r="M306" s="117" t="s">
        <v>304</v>
      </c>
      <c r="N306" s="118">
        <v>5.4723600000000001</v>
      </c>
      <c r="O306" s="111">
        <f t="shared" si="5"/>
        <v>1.63076328</v>
      </c>
    </row>
    <row r="307" spans="2:15">
      <c r="B307" s="117" t="s">
        <v>297</v>
      </c>
      <c r="C307" s="117" t="s">
        <v>298</v>
      </c>
      <c r="D307" s="117" t="s">
        <v>308</v>
      </c>
      <c r="E307" s="117" t="s">
        <v>309</v>
      </c>
      <c r="F307" s="117" t="s">
        <v>299</v>
      </c>
      <c r="G307" s="117" t="s">
        <v>300</v>
      </c>
      <c r="H307" s="117" t="s">
        <v>95</v>
      </c>
      <c r="I307" s="117" t="s">
        <v>301</v>
      </c>
      <c r="J307" s="117" t="s">
        <v>302</v>
      </c>
      <c r="K307" s="117" t="s">
        <v>303</v>
      </c>
      <c r="L307" s="117" t="s">
        <v>96</v>
      </c>
      <c r="M307" s="117" t="s">
        <v>304</v>
      </c>
      <c r="N307" s="118">
        <v>9859.6724799999993</v>
      </c>
      <c r="O307" s="111">
        <f t="shared" si="5"/>
        <v>246.49181199999998</v>
      </c>
    </row>
    <row r="308" spans="2:15">
      <c r="B308" s="117" t="s">
        <v>297</v>
      </c>
      <c r="C308" s="117" t="s">
        <v>298</v>
      </c>
      <c r="D308" s="117" t="s">
        <v>308</v>
      </c>
      <c r="E308" s="117" t="s">
        <v>309</v>
      </c>
      <c r="F308" s="117" t="s">
        <v>299</v>
      </c>
      <c r="G308" s="117" t="s">
        <v>305</v>
      </c>
      <c r="H308" s="117" t="s">
        <v>101</v>
      </c>
      <c r="I308" s="117" t="s">
        <v>301</v>
      </c>
      <c r="J308" s="117" t="s">
        <v>302</v>
      </c>
      <c r="K308" s="117" t="s">
        <v>303</v>
      </c>
      <c r="L308" s="117" t="s">
        <v>96</v>
      </c>
      <c r="M308" s="117" t="s">
        <v>304</v>
      </c>
      <c r="N308" s="118">
        <v>597.06574000000001</v>
      </c>
      <c r="O308" s="111">
        <f t="shared" si="5"/>
        <v>177.92559051999999</v>
      </c>
    </row>
    <row r="309" spans="2:15">
      <c r="B309" s="117" t="s">
        <v>297</v>
      </c>
      <c r="C309" s="117" t="s">
        <v>298</v>
      </c>
      <c r="D309" s="117" t="s">
        <v>308</v>
      </c>
      <c r="E309" s="117" t="s">
        <v>309</v>
      </c>
      <c r="F309" s="117" t="s">
        <v>299</v>
      </c>
      <c r="G309" s="117" t="s">
        <v>305</v>
      </c>
      <c r="H309" s="117" t="s">
        <v>106</v>
      </c>
      <c r="I309" s="117" t="s">
        <v>301</v>
      </c>
      <c r="J309" s="117" t="s">
        <v>302</v>
      </c>
      <c r="K309" s="117" t="s">
        <v>303</v>
      </c>
      <c r="L309" s="117" t="s">
        <v>96</v>
      </c>
      <c r="M309" s="117" t="s">
        <v>304</v>
      </c>
      <c r="N309" s="118">
        <v>620.10208</v>
      </c>
      <c r="O309" s="111">
        <f t="shared" si="5"/>
        <v>184.79041984</v>
      </c>
    </row>
    <row r="310" spans="2:15">
      <c r="B310" s="117" t="s">
        <v>297</v>
      </c>
      <c r="C310" s="117" t="s">
        <v>298</v>
      </c>
      <c r="D310" s="117" t="s">
        <v>308</v>
      </c>
      <c r="E310" s="117" t="s">
        <v>309</v>
      </c>
      <c r="F310" s="117" t="s">
        <v>299</v>
      </c>
      <c r="G310" s="117" t="s">
        <v>305</v>
      </c>
      <c r="H310" s="117" t="s">
        <v>95</v>
      </c>
      <c r="I310" s="117" t="s">
        <v>306</v>
      </c>
      <c r="J310" s="117" t="s">
        <v>302</v>
      </c>
      <c r="K310" s="117" t="s">
        <v>307</v>
      </c>
      <c r="L310" s="117" t="s">
        <v>96</v>
      </c>
      <c r="M310" s="117" t="s">
        <v>304</v>
      </c>
      <c r="N310" s="118">
        <v>33.662280000000003</v>
      </c>
      <c r="O310" s="111">
        <f t="shared" si="5"/>
        <v>10.031359440000001</v>
      </c>
    </row>
    <row r="311" spans="2:15">
      <c r="B311" s="117" t="s">
        <v>297</v>
      </c>
      <c r="C311" s="117" t="s">
        <v>298</v>
      </c>
      <c r="D311" s="117" t="s">
        <v>310</v>
      </c>
      <c r="E311" s="117" t="s">
        <v>311</v>
      </c>
      <c r="F311" s="117" t="s">
        <v>299</v>
      </c>
      <c r="G311" s="117" t="s">
        <v>300</v>
      </c>
      <c r="H311" s="117" t="s">
        <v>101</v>
      </c>
      <c r="I311" s="117" t="s">
        <v>301</v>
      </c>
      <c r="J311" s="117" t="s">
        <v>302</v>
      </c>
      <c r="K311" s="117" t="s">
        <v>303</v>
      </c>
      <c r="L311" s="117" t="s">
        <v>96</v>
      </c>
      <c r="M311" s="117" t="s">
        <v>304</v>
      </c>
      <c r="N311" s="118">
        <v>9565.1397400000005</v>
      </c>
      <c r="O311" s="111">
        <f t="shared" si="5"/>
        <v>239.12849350000002</v>
      </c>
    </row>
    <row r="312" spans="2:15">
      <c r="B312" s="117" t="s">
        <v>297</v>
      </c>
      <c r="C312" s="117" t="s">
        <v>298</v>
      </c>
      <c r="D312" s="117" t="s">
        <v>310</v>
      </c>
      <c r="E312" s="117" t="s">
        <v>311</v>
      </c>
      <c r="F312" s="117" t="s">
        <v>299</v>
      </c>
      <c r="G312" s="117" t="s">
        <v>300</v>
      </c>
      <c r="H312" s="117" t="s">
        <v>95</v>
      </c>
      <c r="I312" s="117" t="s">
        <v>306</v>
      </c>
      <c r="J312" s="117" t="s">
        <v>302</v>
      </c>
      <c r="K312" s="117" t="s">
        <v>307</v>
      </c>
      <c r="L312" s="117" t="s">
        <v>96</v>
      </c>
      <c r="M312" s="117" t="s">
        <v>304</v>
      </c>
      <c r="N312" s="118">
        <v>7584.38375</v>
      </c>
      <c r="O312" s="111">
        <f t="shared" si="5"/>
        <v>189.60959374999999</v>
      </c>
    </row>
    <row r="313" spans="2:15">
      <c r="B313" s="117" t="s">
        <v>297</v>
      </c>
      <c r="C313" s="117" t="s">
        <v>298</v>
      </c>
      <c r="D313" s="117" t="s">
        <v>310</v>
      </c>
      <c r="E313" s="117" t="s">
        <v>311</v>
      </c>
      <c r="F313" s="117" t="s">
        <v>299</v>
      </c>
      <c r="G313" s="117" t="s">
        <v>305</v>
      </c>
      <c r="H313" s="117" t="s">
        <v>101</v>
      </c>
      <c r="I313" s="117" t="s">
        <v>306</v>
      </c>
      <c r="J313" s="117" t="s">
        <v>302</v>
      </c>
      <c r="K313" s="117" t="s">
        <v>307</v>
      </c>
      <c r="L313" s="117" t="s">
        <v>96</v>
      </c>
      <c r="M313" s="117" t="s">
        <v>304</v>
      </c>
      <c r="N313" s="118">
        <v>35.674970000000002</v>
      </c>
      <c r="O313" s="111">
        <f t="shared" si="5"/>
        <v>10.631141059999999</v>
      </c>
    </row>
    <row r="314" spans="2:15">
      <c r="B314" s="117" t="s">
        <v>297</v>
      </c>
      <c r="C314" s="117" t="s">
        <v>298</v>
      </c>
      <c r="D314" s="117" t="s">
        <v>310</v>
      </c>
      <c r="E314" s="117" t="s">
        <v>311</v>
      </c>
      <c r="F314" s="117" t="s">
        <v>299</v>
      </c>
      <c r="G314" s="117" t="s">
        <v>305</v>
      </c>
      <c r="H314" s="117" t="s">
        <v>106</v>
      </c>
      <c r="I314" s="117" t="s">
        <v>306</v>
      </c>
      <c r="J314" s="117" t="s">
        <v>302</v>
      </c>
      <c r="K314" s="117" t="s">
        <v>307</v>
      </c>
      <c r="L314" s="117" t="s">
        <v>96</v>
      </c>
      <c r="M314" s="117" t="s">
        <v>304</v>
      </c>
      <c r="N314" s="118">
        <v>36.348979999999997</v>
      </c>
      <c r="O314" s="111">
        <f t="shared" si="5"/>
        <v>10.83199604</v>
      </c>
    </row>
    <row r="315" spans="2:15">
      <c r="B315" s="117" t="s">
        <v>297</v>
      </c>
      <c r="C315" s="117" t="s">
        <v>298</v>
      </c>
      <c r="D315" s="117" t="s">
        <v>36</v>
      </c>
      <c r="E315" s="117" t="s">
        <v>121</v>
      </c>
      <c r="F315" s="117" t="s">
        <v>299</v>
      </c>
      <c r="G315" s="117" t="s">
        <v>305</v>
      </c>
      <c r="H315" s="117" t="s">
        <v>95</v>
      </c>
      <c r="I315" s="117" t="s">
        <v>306</v>
      </c>
      <c r="J315" s="117" t="s">
        <v>302</v>
      </c>
      <c r="K315" s="117" t="s">
        <v>307</v>
      </c>
      <c r="L315" s="117" t="s">
        <v>96</v>
      </c>
      <c r="M315" s="117" t="s">
        <v>304</v>
      </c>
      <c r="N315" s="118">
        <v>0.42077999999999999</v>
      </c>
      <c r="O315" s="111">
        <f t="shared" si="5"/>
        <v>0.12539243999999999</v>
      </c>
    </row>
    <row r="316" spans="2:15">
      <c r="B316" s="117" t="s">
        <v>297</v>
      </c>
      <c r="C316" s="117" t="s">
        <v>298</v>
      </c>
      <c r="D316" s="117" t="s">
        <v>35</v>
      </c>
      <c r="E316" s="117" t="s">
        <v>114</v>
      </c>
      <c r="F316" s="117" t="s">
        <v>299</v>
      </c>
      <c r="G316" s="117" t="s">
        <v>300</v>
      </c>
      <c r="H316" s="117" t="s">
        <v>106</v>
      </c>
      <c r="I316" s="117" t="s">
        <v>301</v>
      </c>
      <c r="J316" s="117" t="s">
        <v>302</v>
      </c>
      <c r="K316" s="117" t="s">
        <v>303</v>
      </c>
      <c r="L316" s="117" t="s">
        <v>96</v>
      </c>
      <c r="M316" s="117" t="s">
        <v>304</v>
      </c>
      <c r="N316" s="118">
        <v>1637.1871799999999</v>
      </c>
      <c r="O316" s="111">
        <f t="shared" si="5"/>
        <v>40.929679499999999</v>
      </c>
    </row>
    <row r="317" spans="2:15">
      <c r="B317" s="117" t="s">
        <v>297</v>
      </c>
      <c r="C317" s="117" t="s">
        <v>298</v>
      </c>
      <c r="D317" s="117" t="s">
        <v>35</v>
      </c>
      <c r="E317" s="117" t="s">
        <v>114</v>
      </c>
      <c r="F317" s="117" t="s">
        <v>299</v>
      </c>
      <c r="G317" s="117" t="s">
        <v>305</v>
      </c>
      <c r="H317" s="117" t="s">
        <v>106</v>
      </c>
      <c r="I317" s="117" t="s">
        <v>301</v>
      </c>
      <c r="J317" s="117" t="s">
        <v>302</v>
      </c>
      <c r="K317" s="117" t="s">
        <v>303</v>
      </c>
      <c r="L317" s="117" t="s">
        <v>96</v>
      </c>
      <c r="M317" s="117" t="s">
        <v>304</v>
      </c>
      <c r="N317" s="118">
        <v>118.91834</v>
      </c>
      <c r="O317" s="111">
        <f t="shared" si="5"/>
        <v>35.437665320000001</v>
      </c>
    </row>
    <row r="318" spans="2:15">
      <c r="B318" s="117" t="s">
        <v>297</v>
      </c>
      <c r="C318" s="117" t="s">
        <v>298</v>
      </c>
      <c r="D318" s="117" t="s">
        <v>35</v>
      </c>
      <c r="E318" s="117" t="s">
        <v>114</v>
      </c>
      <c r="F318" s="117" t="s">
        <v>299</v>
      </c>
      <c r="G318" s="117" t="s">
        <v>305</v>
      </c>
      <c r="H318" s="117" t="s">
        <v>106</v>
      </c>
      <c r="I318" s="117" t="s">
        <v>306</v>
      </c>
      <c r="J318" s="117" t="s">
        <v>302</v>
      </c>
      <c r="K318" s="117" t="s">
        <v>307</v>
      </c>
      <c r="L318" s="117" t="s">
        <v>96</v>
      </c>
      <c r="M318" s="117" t="s">
        <v>304</v>
      </c>
      <c r="N318" s="118">
        <v>2.7999900000000002</v>
      </c>
      <c r="O318" s="111">
        <f t="shared" si="5"/>
        <v>0.83439702000000016</v>
      </c>
    </row>
    <row r="319" spans="2:15">
      <c r="B319" s="117" t="s">
        <v>297</v>
      </c>
      <c r="C319" s="117" t="s">
        <v>298</v>
      </c>
      <c r="D319" s="117" t="s">
        <v>312</v>
      </c>
      <c r="E319" s="117" t="s">
        <v>112</v>
      </c>
      <c r="F319" s="117" t="s">
        <v>299</v>
      </c>
      <c r="G319" s="117" t="s">
        <v>300</v>
      </c>
      <c r="H319" s="117" t="s">
        <v>101</v>
      </c>
      <c r="I319" s="117" t="s">
        <v>301</v>
      </c>
      <c r="J319" s="117" t="s">
        <v>302</v>
      </c>
      <c r="K319" s="117" t="s">
        <v>303</v>
      </c>
      <c r="L319" s="117" t="s">
        <v>96</v>
      </c>
      <c r="M319" s="117" t="s">
        <v>304</v>
      </c>
      <c r="N319" s="118">
        <v>198.83062000000001</v>
      </c>
      <c r="O319" s="111">
        <f t="shared" si="5"/>
        <v>4.9707655000000006</v>
      </c>
    </row>
    <row r="320" spans="2:15">
      <c r="B320" s="117" t="s">
        <v>297</v>
      </c>
      <c r="C320" s="117" t="s">
        <v>298</v>
      </c>
      <c r="D320" s="117" t="s">
        <v>312</v>
      </c>
      <c r="E320" s="117" t="s">
        <v>112</v>
      </c>
      <c r="F320" s="117" t="s">
        <v>299</v>
      </c>
      <c r="G320" s="117" t="s">
        <v>305</v>
      </c>
      <c r="H320" s="117" t="s">
        <v>101</v>
      </c>
      <c r="I320" s="117" t="s">
        <v>301</v>
      </c>
      <c r="J320" s="117" t="s">
        <v>302</v>
      </c>
      <c r="K320" s="117" t="s">
        <v>303</v>
      </c>
      <c r="L320" s="117" t="s">
        <v>96</v>
      </c>
      <c r="M320" s="117" t="s">
        <v>304</v>
      </c>
      <c r="N320" s="118">
        <v>12.80142</v>
      </c>
      <c r="O320" s="111">
        <f t="shared" si="5"/>
        <v>3.81482316</v>
      </c>
    </row>
    <row r="321" spans="2:15">
      <c r="B321" s="117" t="s">
        <v>297</v>
      </c>
      <c r="C321" s="117" t="s">
        <v>298</v>
      </c>
      <c r="D321" s="117" t="s">
        <v>312</v>
      </c>
      <c r="E321" s="117" t="s">
        <v>112</v>
      </c>
      <c r="F321" s="117" t="s">
        <v>299</v>
      </c>
      <c r="G321" s="117" t="s">
        <v>305</v>
      </c>
      <c r="H321" s="117" t="s">
        <v>95</v>
      </c>
      <c r="I321" s="117" t="s">
        <v>306</v>
      </c>
      <c r="J321" s="117" t="s">
        <v>302</v>
      </c>
      <c r="K321" s="117" t="s">
        <v>307</v>
      </c>
      <c r="L321" s="117" t="s">
        <v>96</v>
      </c>
      <c r="M321" s="117" t="s">
        <v>304</v>
      </c>
      <c r="N321" s="118">
        <v>1.07904</v>
      </c>
      <c r="O321" s="111">
        <f t="shared" si="5"/>
        <v>0.32155391999999999</v>
      </c>
    </row>
    <row r="322" spans="2:15">
      <c r="B322" s="117" t="s">
        <v>297</v>
      </c>
      <c r="C322" s="117" t="s">
        <v>298</v>
      </c>
      <c r="D322" s="117" t="s">
        <v>312</v>
      </c>
      <c r="E322" s="117" t="s">
        <v>112</v>
      </c>
      <c r="F322" s="117" t="s">
        <v>299</v>
      </c>
      <c r="G322" s="117" t="s">
        <v>305</v>
      </c>
      <c r="H322" s="117" t="s">
        <v>106</v>
      </c>
      <c r="I322" s="117" t="s">
        <v>306</v>
      </c>
      <c r="J322" s="117" t="s">
        <v>302</v>
      </c>
      <c r="K322" s="117" t="s">
        <v>307</v>
      </c>
      <c r="L322" s="117" t="s">
        <v>96</v>
      </c>
      <c r="M322" s="117" t="s">
        <v>304</v>
      </c>
      <c r="N322" s="118">
        <v>1.12971</v>
      </c>
      <c r="O322" s="111">
        <f t="shared" si="5"/>
        <v>0.33665357999999995</v>
      </c>
    </row>
    <row r="323" spans="2:15">
      <c r="B323" s="117" t="s">
        <v>297</v>
      </c>
      <c r="C323" s="117" t="s">
        <v>298</v>
      </c>
      <c r="D323" s="117" t="s">
        <v>34</v>
      </c>
      <c r="E323" s="117" t="s">
        <v>62</v>
      </c>
      <c r="F323" s="117" t="s">
        <v>299</v>
      </c>
      <c r="G323" s="117" t="s">
        <v>300</v>
      </c>
      <c r="H323" s="117" t="s">
        <v>106</v>
      </c>
      <c r="I323" s="117" t="s">
        <v>301</v>
      </c>
      <c r="J323" s="117" t="s">
        <v>302</v>
      </c>
      <c r="K323" s="117" t="s">
        <v>303</v>
      </c>
      <c r="L323" s="117" t="s">
        <v>96</v>
      </c>
      <c r="M323" s="117" t="s">
        <v>304</v>
      </c>
      <c r="N323" s="118">
        <v>54.752740000000003</v>
      </c>
      <c r="O323" s="111">
        <f t="shared" si="5"/>
        <v>1.3688185000000002</v>
      </c>
    </row>
    <row r="324" spans="2:15">
      <c r="B324" s="117" t="s">
        <v>297</v>
      </c>
      <c r="C324" s="117" t="s">
        <v>298</v>
      </c>
      <c r="D324" s="117" t="s">
        <v>34</v>
      </c>
      <c r="E324" s="117" t="s">
        <v>62</v>
      </c>
      <c r="F324" s="117" t="s">
        <v>299</v>
      </c>
      <c r="G324" s="117" t="s">
        <v>300</v>
      </c>
      <c r="H324" s="117" t="s">
        <v>101</v>
      </c>
      <c r="I324" s="117" t="s">
        <v>306</v>
      </c>
      <c r="J324" s="117" t="s">
        <v>302</v>
      </c>
      <c r="K324" s="117" t="s">
        <v>307</v>
      </c>
      <c r="L324" s="117" t="s">
        <v>96</v>
      </c>
      <c r="M324" s="117" t="s">
        <v>304</v>
      </c>
      <c r="N324" s="118">
        <v>52.34402</v>
      </c>
      <c r="O324" s="111">
        <f t="shared" si="5"/>
        <v>1.3086005000000001</v>
      </c>
    </row>
    <row r="325" spans="2:15">
      <c r="B325" s="117" t="s">
        <v>297</v>
      </c>
      <c r="C325" s="117" t="s">
        <v>298</v>
      </c>
      <c r="D325" s="117" t="s">
        <v>34</v>
      </c>
      <c r="E325" s="117" t="s">
        <v>62</v>
      </c>
      <c r="F325" s="117" t="s">
        <v>299</v>
      </c>
      <c r="G325" s="117" t="s">
        <v>305</v>
      </c>
      <c r="H325" s="117" t="s">
        <v>95</v>
      </c>
      <c r="I325" s="117" t="s">
        <v>306</v>
      </c>
      <c r="J325" s="117" t="s">
        <v>302</v>
      </c>
      <c r="K325" s="117" t="s">
        <v>307</v>
      </c>
      <c r="L325" s="117" t="s">
        <v>96</v>
      </c>
      <c r="M325" s="117" t="s">
        <v>304</v>
      </c>
      <c r="N325" s="118">
        <v>0.27045999999999998</v>
      </c>
      <c r="O325" s="111">
        <f t="shared" si="5"/>
        <v>8.0597079999999988E-2</v>
      </c>
    </row>
    <row r="326" spans="2:15">
      <c r="B326" s="117" t="s">
        <v>297</v>
      </c>
      <c r="C326" s="117" t="s">
        <v>298</v>
      </c>
      <c r="D326" s="117" t="s">
        <v>33</v>
      </c>
      <c r="E326" s="117" t="s">
        <v>65</v>
      </c>
      <c r="F326" s="117" t="s">
        <v>299</v>
      </c>
      <c r="G326" s="117" t="s">
        <v>305</v>
      </c>
      <c r="H326" s="117" t="s">
        <v>95</v>
      </c>
      <c r="I326" s="117" t="s">
        <v>301</v>
      </c>
      <c r="J326" s="117" t="s">
        <v>302</v>
      </c>
      <c r="K326" s="117" t="s">
        <v>303</v>
      </c>
      <c r="L326" s="117" t="s">
        <v>96</v>
      </c>
      <c r="M326" s="117" t="s">
        <v>304</v>
      </c>
      <c r="N326" s="118">
        <v>11.092829999999999</v>
      </c>
      <c r="O326" s="111">
        <f t="shared" si="5"/>
        <v>3.3056633399999997</v>
      </c>
    </row>
    <row r="327" spans="2:15">
      <c r="B327" s="117" t="s">
        <v>297</v>
      </c>
      <c r="C327" s="117" t="s">
        <v>298</v>
      </c>
      <c r="D327" s="117" t="s">
        <v>33</v>
      </c>
      <c r="E327" s="117" t="s">
        <v>65</v>
      </c>
      <c r="F327" s="117" t="s">
        <v>299</v>
      </c>
      <c r="G327" s="117" t="s">
        <v>305</v>
      </c>
      <c r="H327" s="117" t="s">
        <v>101</v>
      </c>
      <c r="I327" s="117" t="s">
        <v>301</v>
      </c>
      <c r="J327" s="117" t="s">
        <v>302</v>
      </c>
      <c r="K327" s="117" t="s">
        <v>303</v>
      </c>
      <c r="L327" s="117" t="s">
        <v>96</v>
      </c>
      <c r="M327" s="117" t="s">
        <v>304</v>
      </c>
      <c r="N327" s="118">
        <v>10.407679999999999</v>
      </c>
      <c r="O327" s="111">
        <f t="shared" si="5"/>
        <v>3.1014886399999995</v>
      </c>
    </row>
    <row r="328" spans="2:15">
      <c r="B328" s="117" t="s">
        <v>297</v>
      </c>
      <c r="C328" s="117" t="s">
        <v>298</v>
      </c>
      <c r="D328" s="117" t="s">
        <v>33</v>
      </c>
      <c r="E328" s="117" t="s">
        <v>65</v>
      </c>
      <c r="F328" s="117" t="s">
        <v>299</v>
      </c>
      <c r="G328" s="117" t="s">
        <v>305</v>
      </c>
      <c r="H328" s="117" t="s">
        <v>101</v>
      </c>
      <c r="I328" s="117" t="s">
        <v>306</v>
      </c>
      <c r="J328" s="117" t="s">
        <v>302</v>
      </c>
      <c r="K328" s="117" t="s">
        <v>307</v>
      </c>
      <c r="L328" s="117" t="s">
        <v>96</v>
      </c>
      <c r="M328" s="117" t="s">
        <v>304</v>
      </c>
      <c r="N328" s="118">
        <v>0.44484000000000001</v>
      </c>
      <c r="O328" s="111">
        <f t="shared" si="5"/>
        <v>0.13256232000000001</v>
      </c>
    </row>
    <row r="329" spans="2:15">
      <c r="B329" s="117" t="s">
        <v>297</v>
      </c>
      <c r="C329" s="117" t="s">
        <v>298</v>
      </c>
      <c r="D329" s="117" t="s">
        <v>32</v>
      </c>
      <c r="E329" s="117" t="s">
        <v>111</v>
      </c>
      <c r="F329" s="117" t="s">
        <v>299</v>
      </c>
      <c r="G329" s="117" t="s">
        <v>300</v>
      </c>
      <c r="H329" s="117" t="s">
        <v>95</v>
      </c>
      <c r="I329" s="117" t="s">
        <v>306</v>
      </c>
      <c r="J329" s="117" t="s">
        <v>302</v>
      </c>
      <c r="K329" s="117" t="s">
        <v>307</v>
      </c>
      <c r="L329" s="117" t="s">
        <v>96</v>
      </c>
      <c r="M329" s="117" t="s">
        <v>304</v>
      </c>
      <c r="N329" s="118">
        <v>42.665410000000001</v>
      </c>
      <c r="O329" s="111">
        <f t="shared" si="5"/>
        <v>1.06663525</v>
      </c>
    </row>
    <row r="330" spans="2:15">
      <c r="B330" s="117" t="s">
        <v>297</v>
      </c>
      <c r="C330" s="117" t="s">
        <v>298</v>
      </c>
      <c r="D330" s="117" t="s">
        <v>31</v>
      </c>
      <c r="E330" s="117" t="s">
        <v>124</v>
      </c>
      <c r="F330" s="117" t="s">
        <v>299</v>
      </c>
      <c r="G330" s="117" t="s">
        <v>300</v>
      </c>
      <c r="H330" s="117" t="s">
        <v>95</v>
      </c>
      <c r="I330" s="117" t="s">
        <v>301</v>
      </c>
      <c r="J330" s="117" t="s">
        <v>302</v>
      </c>
      <c r="K330" s="117" t="s">
        <v>303</v>
      </c>
      <c r="L330" s="117" t="s">
        <v>96</v>
      </c>
      <c r="M330" s="117" t="s">
        <v>304</v>
      </c>
      <c r="N330" s="118">
        <v>12.88308</v>
      </c>
      <c r="O330" s="111">
        <f t="shared" si="5"/>
        <v>0.322077</v>
      </c>
    </row>
    <row r="331" spans="2:15">
      <c r="B331" s="117" t="s">
        <v>297</v>
      </c>
      <c r="C331" s="117" t="s">
        <v>298</v>
      </c>
      <c r="D331" s="117" t="s">
        <v>31</v>
      </c>
      <c r="E331" s="117" t="s">
        <v>124</v>
      </c>
      <c r="F331" s="117" t="s">
        <v>299</v>
      </c>
      <c r="G331" s="117" t="s">
        <v>305</v>
      </c>
      <c r="H331" s="117" t="s">
        <v>101</v>
      </c>
      <c r="I331" s="117" t="s">
        <v>301</v>
      </c>
      <c r="J331" s="117" t="s">
        <v>302</v>
      </c>
      <c r="K331" s="117" t="s">
        <v>303</v>
      </c>
      <c r="L331" s="117" t="s">
        <v>96</v>
      </c>
      <c r="M331" s="117" t="s">
        <v>304</v>
      </c>
      <c r="N331" s="118">
        <v>0.84535000000000005</v>
      </c>
      <c r="O331" s="111">
        <f t="shared" si="5"/>
        <v>0.25191430000000004</v>
      </c>
    </row>
    <row r="332" spans="2:15">
      <c r="B332" s="117" t="s">
        <v>297</v>
      </c>
      <c r="C332" s="117" t="s">
        <v>298</v>
      </c>
      <c r="D332" s="117" t="s">
        <v>43</v>
      </c>
      <c r="E332" s="117" t="s">
        <v>116</v>
      </c>
      <c r="F332" s="117" t="s">
        <v>299</v>
      </c>
      <c r="G332" s="117" t="s">
        <v>305</v>
      </c>
      <c r="H332" s="117" t="s">
        <v>95</v>
      </c>
      <c r="I332" s="117" t="s">
        <v>306</v>
      </c>
      <c r="J332" s="117" t="s">
        <v>302</v>
      </c>
      <c r="K332" s="117" t="s">
        <v>307</v>
      </c>
      <c r="L332" s="117" t="s">
        <v>96</v>
      </c>
      <c r="M332" s="117" t="s">
        <v>304</v>
      </c>
      <c r="N332" s="118">
        <v>4.7879999999999999E-2</v>
      </c>
      <c r="O332" s="111">
        <f t="shared" si="5"/>
        <v>1.426824E-2</v>
      </c>
    </row>
    <row r="333" spans="2:15">
      <c r="B333" s="117" t="s">
        <v>297</v>
      </c>
      <c r="C333" s="117" t="s">
        <v>298</v>
      </c>
      <c r="D333" s="117" t="s">
        <v>42</v>
      </c>
      <c r="E333" s="117" t="s">
        <v>63</v>
      </c>
      <c r="F333" s="117" t="s">
        <v>299</v>
      </c>
      <c r="G333" s="117" t="s">
        <v>300</v>
      </c>
      <c r="H333" s="117" t="s">
        <v>101</v>
      </c>
      <c r="I333" s="117" t="s">
        <v>301</v>
      </c>
      <c r="J333" s="117" t="s">
        <v>302</v>
      </c>
      <c r="K333" s="117" t="s">
        <v>303</v>
      </c>
      <c r="L333" s="117" t="s">
        <v>96</v>
      </c>
      <c r="M333" s="117" t="s">
        <v>304</v>
      </c>
      <c r="N333" s="118">
        <v>141.24477999999999</v>
      </c>
      <c r="O333" s="111">
        <f t="shared" si="5"/>
        <v>3.5311195</v>
      </c>
    </row>
    <row r="334" spans="2:15">
      <c r="B334" s="117" t="s">
        <v>297</v>
      </c>
      <c r="C334" s="117" t="s">
        <v>298</v>
      </c>
      <c r="D334" s="117" t="s">
        <v>30</v>
      </c>
      <c r="E334" s="117" t="s">
        <v>115</v>
      </c>
      <c r="F334" s="117" t="s">
        <v>299</v>
      </c>
      <c r="G334" s="117" t="s">
        <v>305</v>
      </c>
      <c r="H334" s="117" t="s">
        <v>101</v>
      </c>
      <c r="I334" s="117" t="s">
        <v>306</v>
      </c>
      <c r="J334" s="117" t="s">
        <v>302</v>
      </c>
      <c r="K334" s="117" t="s">
        <v>307</v>
      </c>
      <c r="L334" s="117" t="s">
        <v>96</v>
      </c>
      <c r="M334" s="117" t="s">
        <v>304</v>
      </c>
      <c r="N334" s="118">
        <v>6.2724900000000003</v>
      </c>
      <c r="O334" s="111">
        <f t="shared" si="5"/>
        <v>1.8692020200000001</v>
      </c>
    </row>
    <row r="335" spans="2:15">
      <c r="B335" s="117" t="s">
        <v>297</v>
      </c>
      <c r="C335" s="117" t="s">
        <v>298</v>
      </c>
      <c r="D335" s="117" t="s">
        <v>42</v>
      </c>
      <c r="E335" s="117" t="s">
        <v>63</v>
      </c>
      <c r="F335" s="117" t="s">
        <v>299</v>
      </c>
      <c r="G335" s="117" t="s">
        <v>300</v>
      </c>
      <c r="H335" s="117" t="s">
        <v>101</v>
      </c>
      <c r="I335" s="117" t="s">
        <v>306</v>
      </c>
      <c r="J335" s="117" t="s">
        <v>302</v>
      </c>
      <c r="K335" s="117" t="s">
        <v>307</v>
      </c>
      <c r="L335" s="117" t="s">
        <v>96</v>
      </c>
      <c r="M335" s="117" t="s">
        <v>304</v>
      </c>
      <c r="N335" s="118">
        <v>170.05582000000001</v>
      </c>
      <c r="O335" s="111">
        <f t="shared" si="5"/>
        <v>4.2513955000000001</v>
      </c>
    </row>
    <row r="336" spans="2:15">
      <c r="B336" s="117" t="s">
        <v>297</v>
      </c>
      <c r="C336" s="117" t="s">
        <v>298</v>
      </c>
      <c r="D336" s="117" t="s">
        <v>313</v>
      </c>
      <c r="E336" s="117" t="s">
        <v>143</v>
      </c>
      <c r="F336" s="117" t="s">
        <v>299</v>
      </c>
      <c r="G336" s="117" t="s">
        <v>300</v>
      </c>
      <c r="H336" s="117" t="s">
        <v>95</v>
      </c>
      <c r="I336" s="117" t="s">
        <v>301</v>
      </c>
      <c r="J336" s="117" t="s">
        <v>302</v>
      </c>
      <c r="K336" s="117" t="s">
        <v>303</v>
      </c>
      <c r="L336" s="117" t="s">
        <v>96</v>
      </c>
      <c r="M336" s="117" t="s">
        <v>304</v>
      </c>
      <c r="N336" s="118">
        <v>0.62102999999999997</v>
      </c>
      <c r="O336" s="111">
        <f t="shared" si="5"/>
        <v>1.5525749999999998E-2</v>
      </c>
    </row>
    <row r="337" spans="2:15">
      <c r="B337" s="117" t="s">
        <v>297</v>
      </c>
      <c r="C337" s="117" t="s">
        <v>298</v>
      </c>
      <c r="D337" s="117" t="s">
        <v>313</v>
      </c>
      <c r="E337" s="117" t="s">
        <v>143</v>
      </c>
      <c r="F337" s="117" t="s">
        <v>299</v>
      </c>
      <c r="G337" s="117" t="s">
        <v>305</v>
      </c>
      <c r="H337" s="117" t="s">
        <v>106</v>
      </c>
      <c r="I337" s="117" t="s">
        <v>301</v>
      </c>
      <c r="J337" s="117" t="s">
        <v>302</v>
      </c>
      <c r="K337" s="117" t="s">
        <v>303</v>
      </c>
      <c r="L337" s="117" t="s">
        <v>96</v>
      </c>
      <c r="M337" s="117" t="s">
        <v>304</v>
      </c>
      <c r="N337" s="118">
        <v>2.725E-2</v>
      </c>
      <c r="O337" s="111">
        <f t="shared" si="5"/>
        <v>8.1204999999999992E-3</v>
      </c>
    </row>
    <row r="338" spans="2:15">
      <c r="B338" s="117" t="s">
        <v>297</v>
      </c>
      <c r="C338" s="117" t="s">
        <v>298</v>
      </c>
      <c r="D338" s="117" t="s">
        <v>28</v>
      </c>
      <c r="E338" s="117" t="s">
        <v>67</v>
      </c>
      <c r="F338" s="117" t="s">
        <v>299</v>
      </c>
      <c r="G338" s="117" t="s">
        <v>300</v>
      </c>
      <c r="H338" s="117" t="s">
        <v>95</v>
      </c>
      <c r="I338" s="117" t="s">
        <v>301</v>
      </c>
      <c r="J338" s="117" t="s">
        <v>302</v>
      </c>
      <c r="K338" s="117" t="s">
        <v>303</v>
      </c>
      <c r="L338" s="117" t="s">
        <v>96</v>
      </c>
      <c r="M338" s="117" t="s">
        <v>304</v>
      </c>
      <c r="N338" s="118">
        <v>79.675619999999995</v>
      </c>
      <c r="O338" s="111">
        <f t="shared" si="5"/>
        <v>1.9918905</v>
      </c>
    </row>
    <row r="339" spans="2:15">
      <c r="B339" s="117" t="s">
        <v>297</v>
      </c>
      <c r="C339" s="117" t="s">
        <v>298</v>
      </c>
      <c r="D339" s="117" t="s">
        <v>28</v>
      </c>
      <c r="E339" s="117" t="s">
        <v>67</v>
      </c>
      <c r="F339" s="117" t="s">
        <v>299</v>
      </c>
      <c r="G339" s="117" t="s">
        <v>305</v>
      </c>
      <c r="H339" s="117" t="s">
        <v>101</v>
      </c>
      <c r="I339" s="117" t="s">
        <v>306</v>
      </c>
      <c r="J339" s="117" t="s">
        <v>302</v>
      </c>
      <c r="K339" s="117" t="s">
        <v>307</v>
      </c>
      <c r="L339" s="117" t="s">
        <v>96</v>
      </c>
      <c r="M339" s="117" t="s">
        <v>304</v>
      </c>
      <c r="N339" s="118">
        <v>0.19807</v>
      </c>
      <c r="O339" s="111">
        <f t="shared" si="5"/>
        <v>5.9024859999999998E-2</v>
      </c>
    </row>
    <row r="340" spans="2:15">
      <c r="B340" s="117" t="s">
        <v>297</v>
      </c>
      <c r="C340" s="117" t="s">
        <v>298</v>
      </c>
      <c r="D340" s="117" t="s">
        <v>28</v>
      </c>
      <c r="E340" s="117" t="s">
        <v>67</v>
      </c>
      <c r="F340" s="117" t="s">
        <v>299</v>
      </c>
      <c r="G340" s="117" t="s">
        <v>305</v>
      </c>
      <c r="H340" s="117" t="s">
        <v>106</v>
      </c>
      <c r="I340" s="117" t="s">
        <v>306</v>
      </c>
      <c r="J340" s="117" t="s">
        <v>302</v>
      </c>
      <c r="K340" s="117" t="s">
        <v>307</v>
      </c>
      <c r="L340" s="117" t="s">
        <v>96</v>
      </c>
      <c r="M340" s="117" t="s">
        <v>304</v>
      </c>
      <c r="N340" s="118">
        <v>0.20033999999999999</v>
      </c>
      <c r="O340" s="111">
        <f t="shared" si="5"/>
        <v>5.9701319999999995E-2</v>
      </c>
    </row>
    <row r="341" spans="2:15">
      <c r="B341" s="117" t="s">
        <v>297</v>
      </c>
      <c r="C341" s="117" t="s">
        <v>298</v>
      </c>
      <c r="D341" s="117" t="s">
        <v>27</v>
      </c>
      <c r="E341" s="117" t="s">
        <v>117</v>
      </c>
      <c r="F341" s="117" t="s">
        <v>299</v>
      </c>
      <c r="G341" s="117" t="s">
        <v>305</v>
      </c>
      <c r="H341" s="117" t="s">
        <v>101</v>
      </c>
      <c r="I341" s="117" t="s">
        <v>306</v>
      </c>
      <c r="J341" s="117" t="s">
        <v>302</v>
      </c>
      <c r="K341" s="117" t="s">
        <v>307</v>
      </c>
      <c r="L341" s="117" t="s">
        <v>96</v>
      </c>
      <c r="M341" s="117" t="s">
        <v>304</v>
      </c>
      <c r="N341" s="118">
        <v>6.4390000000000003E-2</v>
      </c>
      <c r="O341" s="111">
        <f t="shared" si="5"/>
        <v>1.9188220000000002E-2</v>
      </c>
    </row>
    <row r="342" spans="2:15">
      <c r="B342" s="117" t="s">
        <v>297</v>
      </c>
      <c r="C342" s="117" t="s">
        <v>298</v>
      </c>
      <c r="D342" s="117" t="s">
        <v>26</v>
      </c>
      <c r="E342" s="117" t="s">
        <v>66</v>
      </c>
      <c r="F342" s="117" t="s">
        <v>299</v>
      </c>
      <c r="G342" s="117" t="s">
        <v>300</v>
      </c>
      <c r="H342" s="117" t="s">
        <v>101</v>
      </c>
      <c r="I342" s="117" t="s">
        <v>306</v>
      </c>
      <c r="J342" s="117" t="s">
        <v>302</v>
      </c>
      <c r="K342" s="117" t="s">
        <v>307</v>
      </c>
      <c r="L342" s="117" t="s">
        <v>96</v>
      </c>
      <c r="M342" s="117" t="s">
        <v>304</v>
      </c>
      <c r="N342" s="118">
        <v>28.200600000000001</v>
      </c>
      <c r="O342" s="111">
        <f t="shared" si="5"/>
        <v>0.70501499999999995</v>
      </c>
    </row>
    <row r="343" spans="2:15">
      <c r="B343" s="117" t="s">
        <v>297</v>
      </c>
      <c r="C343" s="117" t="s">
        <v>298</v>
      </c>
      <c r="D343" s="117" t="s">
        <v>26</v>
      </c>
      <c r="E343" s="117" t="s">
        <v>66</v>
      </c>
      <c r="F343" s="117" t="s">
        <v>299</v>
      </c>
      <c r="G343" s="117" t="s">
        <v>305</v>
      </c>
      <c r="H343" s="117" t="s">
        <v>106</v>
      </c>
      <c r="I343" s="117" t="s">
        <v>306</v>
      </c>
      <c r="J343" s="117" t="s">
        <v>302</v>
      </c>
      <c r="K343" s="117" t="s">
        <v>307</v>
      </c>
      <c r="L343" s="117" t="s">
        <v>96</v>
      </c>
      <c r="M343" s="117" t="s">
        <v>304</v>
      </c>
      <c r="N343" s="118">
        <v>0.13191</v>
      </c>
      <c r="O343" s="111">
        <f t="shared" si="5"/>
        <v>3.9309179999999999E-2</v>
      </c>
    </row>
    <row r="344" spans="2:15">
      <c r="B344" s="117" t="s">
        <v>297</v>
      </c>
      <c r="C344" s="117" t="s">
        <v>298</v>
      </c>
      <c r="D344" s="117" t="s">
        <v>23</v>
      </c>
      <c r="E344" s="117" t="s">
        <v>118</v>
      </c>
      <c r="F344" s="117" t="s">
        <v>299</v>
      </c>
      <c r="G344" s="117" t="s">
        <v>300</v>
      </c>
      <c r="H344" s="117" t="s">
        <v>101</v>
      </c>
      <c r="I344" s="117" t="s">
        <v>301</v>
      </c>
      <c r="J344" s="117" t="s">
        <v>302</v>
      </c>
      <c r="K344" s="117" t="s">
        <v>303</v>
      </c>
      <c r="L344" s="117" t="s">
        <v>96</v>
      </c>
      <c r="M344" s="117" t="s">
        <v>304</v>
      </c>
      <c r="N344" s="118">
        <v>1.47479</v>
      </c>
      <c r="O344" s="111">
        <f t="shared" si="5"/>
        <v>3.6869750000000007E-2</v>
      </c>
    </row>
    <row r="345" spans="2:15">
      <c r="B345" s="117" t="s">
        <v>297</v>
      </c>
      <c r="C345" s="117" t="s">
        <v>298</v>
      </c>
      <c r="D345" s="117" t="s">
        <v>23</v>
      </c>
      <c r="E345" s="117" t="s">
        <v>118</v>
      </c>
      <c r="F345" s="117" t="s">
        <v>299</v>
      </c>
      <c r="G345" s="117" t="s">
        <v>300</v>
      </c>
      <c r="H345" s="117" t="s">
        <v>106</v>
      </c>
      <c r="I345" s="117" t="s">
        <v>306</v>
      </c>
      <c r="J345" s="117" t="s">
        <v>302</v>
      </c>
      <c r="K345" s="117" t="s">
        <v>307</v>
      </c>
      <c r="L345" s="117" t="s">
        <v>96</v>
      </c>
      <c r="M345" s="117" t="s">
        <v>304</v>
      </c>
      <c r="N345" s="118">
        <v>5.5878899999999998</v>
      </c>
      <c r="O345" s="111">
        <f t="shared" si="5"/>
        <v>0.13969725</v>
      </c>
    </row>
    <row r="346" spans="2:15">
      <c r="B346" s="117" t="s">
        <v>297</v>
      </c>
      <c r="C346" s="117" t="s">
        <v>298</v>
      </c>
      <c r="D346" s="117" t="s">
        <v>23</v>
      </c>
      <c r="E346" s="117" t="s">
        <v>118</v>
      </c>
      <c r="F346" s="117" t="s">
        <v>299</v>
      </c>
      <c r="G346" s="117" t="s">
        <v>305</v>
      </c>
      <c r="H346" s="117" t="s">
        <v>95</v>
      </c>
      <c r="I346" s="117" t="s">
        <v>306</v>
      </c>
      <c r="J346" s="117" t="s">
        <v>302</v>
      </c>
      <c r="K346" s="117" t="s">
        <v>307</v>
      </c>
      <c r="L346" s="117" t="s">
        <v>96</v>
      </c>
      <c r="M346" s="117" t="s">
        <v>304</v>
      </c>
      <c r="N346" s="118">
        <v>4.2139999999999997E-2</v>
      </c>
      <c r="O346" s="111">
        <f t="shared" si="5"/>
        <v>1.255772E-2</v>
      </c>
    </row>
    <row r="347" spans="2:15">
      <c r="B347" s="117" t="s">
        <v>297</v>
      </c>
      <c r="C347" s="117" t="s">
        <v>298</v>
      </c>
      <c r="D347" s="117" t="s">
        <v>22</v>
      </c>
      <c r="E347" s="117" t="s">
        <v>119</v>
      </c>
      <c r="F347" s="117" t="s">
        <v>299</v>
      </c>
      <c r="G347" s="117" t="s">
        <v>300</v>
      </c>
      <c r="H347" s="117" t="s">
        <v>95</v>
      </c>
      <c r="I347" s="117" t="s">
        <v>301</v>
      </c>
      <c r="J347" s="117" t="s">
        <v>302</v>
      </c>
      <c r="K347" s="117" t="s">
        <v>303</v>
      </c>
      <c r="L347" s="117" t="s">
        <v>96</v>
      </c>
      <c r="M347" s="117" t="s">
        <v>304</v>
      </c>
      <c r="N347" s="118">
        <v>473.82558</v>
      </c>
      <c r="O347" s="111">
        <f t="shared" si="5"/>
        <v>11.845639499999999</v>
      </c>
    </row>
    <row r="348" spans="2:15">
      <c r="B348" s="117" t="s">
        <v>297</v>
      </c>
      <c r="C348" s="117" t="s">
        <v>298</v>
      </c>
      <c r="D348" s="117" t="s">
        <v>41</v>
      </c>
      <c r="E348" s="117" t="s">
        <v>110</v>
      </c>
      <c r="F348" s="117" t="s">
        <v>299</v>
      </c>
      <c r="G348" s="117" t="s">
        <v>300</v>
      </c>
      <c r="H348" s="117" t="s">
        <v>95</v>
      </c>
      <c r="I348" s="117" t="s">
        <v>306</v>
      </c>
      <c r="J348" s="117" t="s">
        <v>302</v>
      </c>
      <c r="K348" s="117" t="s">
        <v>307</v>
      </c>
      <c r="L348" s="117" t="s">
        <v>96</v>
      </c>
      <c r="M348" s="117" t="s">
        <v>304</v>
      </c>
      <c r="N348" s="118">
        <v>816.79705999999999</v>
      </c>
      <c r="O348" s="111">
        <f t="shared" si="5"/>
        <v>20.419926500000003</v>
      </c>
    </row>
    <row r="349" spans="2:15">
      <c r="B349" s="117" t="s">
        <v>297</v>
      </c>
      <c r="C349" s="117" t="s">
        <v>298</v>
      </c>
      <c r="D349" s="117" t="s">
        <v>22</v>
      </c>
      <c r="E349" s="117" t="s">
        <v>119</v>
      </c>
      <c r="F349" s="117" t="s">
        <v>299</v>
      </c>
      <c r="G349" s="117" t="s">
        <v>305</v>
      </c>
      <c r="H349" s="117" t="s">
        <v>95</v>
      </c>
      <c r="I349" s="117" t="s">
        <v>306</v>
      </c>
      <c r="J349" s="117" t="s">
        <v>302</v>
      </c>
      <c r="K349" s="117" t="s">
        <v>307</v>
      </c>
      <c r="L349" s="117" t="s">
        <v>96</v>
      </c>
      <c r="M349" s="117" t="s">
        <v>304</v>
      </c>
      <c r="N349" s="118">
        <v>0.64929999999999999</v>
      </c>
      <c r="O349" s="111">
        <f t="shared" si="5"/>
        <v>0.19349140000000001</v>
      </c>
    </row>
    <row r="350" spans="2:15">
      <c r="B350" s="117" t="s">
        <v>297</v>
      </c>
      <c r="C350" s="117" t="s">
        <v>298</v>
      </c>
      <c r="D350" s="117" t="s">
        <v>21</v>
      </c>
      <c r="E350" s="117" t="s">
        <v>126</v>
      </c>
      <c r="F350" s="117" t="s">
        <v>299</v>
      </c>
      <c r="G350" s="117" t="s">
        <v>300</v>
      </c>
      <c r="H350" s="117" t="s">
        <v>95</v>
      </c>
      <c r="I350" s="117" t="s">
        <v>306</v>
      </c>
      <c r="J350" s="117" t="s">
        <v>302</v>
      </c>
      <c r="K350" s="117" t="s">
        <v>307</v>
      </c>
      <c r="L350" s="117" t="s">
        <v>96</v>
      </c>
      <c r="M350" s="117" t="s">
        <v>304</v>
      </c>
      <c r="N350" s="118">
        <v>59.068280000000001</v>
      </c>
      <c r="O350" s="111">
        <f t="shared" si="5"/>
        <v>1.4767070000000002</v>
      </c>
    </row>
    <row r="351" spans="2:15">
      <c r="B351" s="117" t="s">
        <v>297</v>
      </c>
      <c r="C351" s="117" t="s">
        <v>298</v>
      </c>
      <c r="D351" s="117" t="s">
        <v>21</v>
      </c>
      <c r="E351" s="117" t="s">
        <v>126</v>
      </c>
      <c r="F351" s="117" t="s">
        <v>299</v>
      </c>
      <c r="G351" s="117" t="s">
        <v>305</v>
      </c>
      <c r="H351" s="117" t="s">
        <v>106</v>
      </c>
      <c r="I351" s="117" t="s">
        <v>301</v>
      </c>
      <c r="J351" s="117" t="s">
        <v>302</v>
      </c>
      <c r="K351" s="117" t="s">
        <v>303</v>
      </c>
      <c r="L351" s="117" t="s">
        <v>96</v>
      </c>
      <c r="M351" s="117" t="s">
        <v>304</v>
      </c>
      <c r="N351" s="118">
        <v>6.3090799999999998</v>
      </c>
      <c r="O351" s="111">
        <f t="shared" si="5"/>
        <v>1.8801058399999999</v>
      </c>
    </row>
    <row r="352" spans="2:15">
      <c r="B352" s="117" t="s">
        <v>297</v>
      </c>
      <c r="C352" s="117" t="s">
        <v>298</v>
      </c>
      <c r="D352" s="117" t="s">
        <v>20</v>
      </c>
      <c r="E352" s="117" t="s">
        <v>68</v>
      </c>
      <c r="F352" s="117" t="s">
        <v>299</v>
      </c>
      <c r="G352" s="117" t="s">
        <v>305</v>
      </c>
      <c r="H352" s="117" t="s">
        <v>106</v>
      </c>
      <c r="I352" s="117" t="s">
        <v>301</v>
      </c>
      <c r="J352" s="117" t="s">
        <v>302</v>
      </c>
      <c r="K352" s="117" t="s">
        <v>303</v>
      </c>
      <c r="L352" s="117" t="s">
        <v>96</v>
      </c>
      <c r="M352" s="117" t="s">
        <v>304</v>
      </c>
      <c r="N352" s="118">
        <v>49.721119999999999</v>
      </c>
      <c r="O352" s="111">
        <f t="shared" ref="O352:O415" si="6">IF(G352="CH4",N352*25,N352*298)/1000</f>
        <v>14.816893759999999</v>
      </c>
    </row>
    <row r="353" spans="2:15">
      <c r="B353" s="117" t="s">
        <v>297</v>
      </c>
      <c r="C353" s="117" t="s">
        <v>298</v>
      </c>
      <c r="D353" s="117" t="s">
        <v>40</v>
      </c>
      <c r="E353" s="117" t="s">
        <v>109</v>
      </c>
      <c r="F353" s="117" t="s">
        <v>299</v>
      </c>
      <c r="G353" s="117" t="s">
        <v>300</v>
      </c>
      <c r="H353" s="117" t="s">
        <v>106</v>
      </c>
      <c r="I353" s="117" t="s">
        <v>301</v>
      </c>
      <c r="J353" s="117" t="s">
        <v>302</v>
      </c>
      <c r="K353" s="117" t="s">
        <v>303</v>
      </c>
      <c r="L353" s="117" t="s">
        <v>96</v>
      </c>
      <c r="M353" s="117" t="s">
        <v>304</v>
      </c>
      <c r="N353" s="118">
        <v>220.97205</v>
      </c>
      <c r="O353" s="111">
        <f t="shared" si="6"/>
        <v>5.5243012499999997</v>
      </c>
    </row>
    <row r="354" spans="2:15">
      <c r="B354" s="117" t="s">
        <v>297</v>
      </c>
      <c r="C354" s="117" t="s">
        <v>298</v>
      </c>
      <c r="D354" s="117" t="s">
        <v>19</v>
      </c>
      <c r="E354" s="117" t="s">
        <v>69</v>
      </c>
      <c r="F354" s="117" t="s">
        <v>299</v>
      </c>
      <c r="G354" s="117" t="s">
        <v>300</v>
      </c>
      <c r="H354" s="117" t="s">
        <v>95</v>
      </c>
      <c r="I354" s="117" t="s">
        <v>301</v>
      </c>
      <c r="J354" s="117" t="s">
        <v>302</v>
      </c>
      <c r="K354" s="117" t="s">
        <v>303</v>
      </c>
      <c r="L354" s="117" t="s">
        <v>96</v>
      </c>
      <c r="M354" s="117" t="s">
        <v>304</v>
      </c>
      <c r="N354" s="118">
        <v>174.33089000000001</v>
      </c>
      <c r="O354" s="111">
        <f t="shared" si="6"/>
        <v>4.3582722499999997</v>
      </c>
    </row>
    <row r="355" spans="2:15">
      <c r="B355" s="117" t="s">
        <v>297</v>
      </c>
      <c r="C355" s="117" t="s">
        <v>298</v>
      </c>
      <c r="D355" s="117" t="s">
        <v>18</v>
      </c>
      <c r="E355" s="117" t="s">
        <v>70</v>
      </c>
      <c r="F355" s="117" t="s">
        <v>299</v>
      </c>
      <c r="G355" s="117" t="s">
        <v>300</v>
      </c>
      <c r="H355" s="117" t="s">
        <v>101</v>
      </c>
      <c r="I355" s="117" t="s">
        <v>301</v>
      </c>
      <c r="J355" s="117" t="s">
        <v>302</v>
      </c>
      <c r="K355" s="117" t="s">
        <v>303</v>
      </c>
      <c r="L355" s="117" t="s">
        <v>96</v>
      </c>
      <c r="M355" s="117" t="s">
        <v>304</v>
      </c>
      <c r="N355" s="118">
        <v>486.74236999999999</v>
      </c>
      <c r="O355" s="111">
        <f t="shared" si="6"/>
        <v>12.168559249999999</v>
      </c>
    </row>
    <row r="356" spans="2:15">
      <c r="B356" s="117" t="s">
        <v>297</v>
      </c>
      <c r="C356" s="117" t="s">
        <v>298</v>
      </c>
      <c r="D356" s="117" t="s">
        <v>18</v>
      </c>
      <c r="E356" s="117" t="s">
        <v>70</v>
      </c>
      <c r="F356" s="117" t="s">
        <v>299</v>
      </c>
      <c r="G356" s="117" t="s">
        <v>300</v>
      </c>
      <c r="H356" s="117" t="s">
        <v>106</v>
      </c>
      <c r="I356" s="117" t="s">
        <v>306</v>
      </c>
      <c r="J356" s="117" t="s">
        <v>302</v>
      </c>
      <c r="K356" s="117" t="s">
        <v>307</v>
      </c>
      <c r="L356" s="117" t="s">
        <v>96</v>
      </c>
      <c r="M356" s="117" t="s">
        <v>304</v>
      </c>
      <c r="N356" s="118">
        <v>211.88531</v>
      </c>
      <c r="O356" s="111">
        <f t="shared" si="6"/>
        <v>5.2971327499999994</v>
      </c>
    </row>
    <row r="357" spans="2:15">
      <c r="B357" s="117" t="s">
        <v>297</v>
      </c>
      <c r="C357" s="117" t="s">
        <v>298</v>
      </c>
      <c r="D357" s="117" t="s">
        <v>16</v>
      </c>
      <c r="E357" s="117" t="s">
        <v>122</v>
      </c>
      <c r="F357" s="117" t="s">
        <v>299</v>
      </c>
      <c r="G357" s="117" t="s">
        <v>300</v>
      </c>
      <c r="H357" s="117" t="s">
        <v>106</v>
      </c>
      <c r="I357" s="117" t="s">
        <v>301</v>
      </c>
      <c r="J357" s="117" t="s">
        <v>302</v>
      </c>
      <c r="K357" s="117" t="s">
        <v>303</v>
      </c>
      <c r="L357" s="117" t="s">
        <v>96</v>
      </c>
      <c r="M357" s="117" t="s">
        <v>304</v>
      </c>
      <c r="N357" s="118">
        <v>130.4323</v>
      </c>
      <c r="O357" s="111">
        <f t="shared" si="6"/>
        <v>3.2608074999999999</v>
      </c>
    </row>
    <row r="358" spans="2:15">
      <c r="B358" s="117" t="s">
        <v>297</v>
      </c>
      <c r="C358" s="117" t="s">
        <v>298</v>
      </c>
      <c r="D358" s="117" t="s">
        <v>40</v>
      </c>
      <c r="E358" s="117" t="s">
        <v>109</v>
      </c>
      <c r="F358" s="117" t="s">
        <v>299</v>
      </c>
      <c r="G358" s="117" t="s">
        <v>305</v>
      </c>
      <c r="H358" s="117" t="s">
        <v>95</v>
      </c>
      <c r="I358" s="117" t="s">
        <v>301</v>
      </c>
      <c r="J358" s="117" t="s">
        <v>302</v>
      </c>
      <c r="K358" s="117" t="s">
        <v>303</v>
      </c>
      <c r="L358" s="117" t="s">
        <v>96</v>
      </c>
      <c r="M358" s="117" t="s">
        <v>304</v>
      </c>
      <c r="N358" s="118">
        <v>16.388629999999999</v>
      </c>
      <c r="O358" s="111">
        <f t="shared" si="6"/>
        <v>4.8838117400000005</v>
      </c>
    </row>
    <row r="359" spans="2:15">
      <c r="B359" s="117" t="s">
        <v>297</v>
      </c>
      <c r="C359" s="117" t="s">
        <v>298</v>
      </c>
      <c r="D359" s="117" t="s">
        <v>16</v>
      </c>
      <c r="E359" s="117" t="s">
        <v>122</v>
      </c>
      <c r="F359" s="117" t="s">
        <v>299</v>
      </c>
      <c r="G359" s="117" t="s">
        <v>305</v>
      </c>
      <c r="H359" s="117" t="s">
        <v>106</v>
      </c>
      <c r="I359" s="117" t="s">
        <v>301</v>
      </c>
      <c r="J359" s="117" t="s">
        <v>302</v>
      </c>
      <c r="K359" s="117" t="s">
        <v>303</v>
      </c>
      <c r="L359" s="117" t="s">
        <v>96</v>
      </c>
      <c r="M359" s="117" t="s">
        <v>304</v>
      </c>
      <c r="N359" s="118">
        <v>11.77643</v>
      </c>
      <c r="O359" s="111">
        <f t="shared" si="6"/>
        <v>3.5093761399999996</v>
      </c>
    </row>
    <row r="360" spans="2:15">
      <c r="B360" s="117" t="s">
        <v>297</v>
      </c>
      <c r="C360" s="117" t="s">
        <v>298</v>
      </c>
      <c r="D360" s="117" t="s">
        <v>16</v>
      </c>
      <c r="E360" s="117" t="s">
        <v>122</v>
      </c>
      <c r="F360" s="117" t="s">
        <v>299</v>
      </c>
      <c r="G360" s="117" t="s">
        <v>305</v>
      </c>
      <c r="H360" s="117" t="s">
        <v>101</v>
      </c>
      <c r="I360" s="117" t="s">
        <v>306</v>
      </c>
      <c r="J360" s="117" t="s">
        <v>302</v>
      </c>
      <c r="K360" s="117" t="s">
        <v>307</v>
      </c>
      <c r="L360" s="117" t="s">
        <v>96</v>
      </c>
      <c r="M360" s="117" t="s">
        <v>304</v>
      </c>
      <c r="N360" s="118">
        <v>0.85757000000000005</v>
      </c>
      <c r="O360" s="111">
        <f t="shared" si="6"/>
        <v>0.25555586000000002</v>
      </c>
    </row>
    <row r="361" spans="2:15">
      <c r="B361" s="117" t="s">
        <v>297</v>
      </c>
      <c r="C361" s="117" t="s">
        <v>298</v>
      </c>
      <c r="D361" s="117" t="s">
        <v>16</v>
      </c>
      <c r="E361" s="117" t="s">
        <v>122</v>
      </c>
      <c r="F361" s="117" t="s">
        <v>299</v>
      </c>
      <c r="G361" s="117" t="s">
        <v>305</v>
      </c>
      <c r="H361" s="117" t="s">
        <v>106</v>
      </c>
      <c r="I361" s="117" t="s">
        <v>306</v>
      </c>
      <c r="J361" s="117" t="s">
        <v>302</v>
      </c>
      <c r="K361" s="117" t="s">
        <v>307</v>
      </c>
      <c r="L361" s="117" t="s">
        <v>96</v>
      </c>
      <c r="M361" s="117" t="s">
        <v>304</v>
      </c>
      <c r="N361" s="118">
        <v>0.81006</v>
      </c>
      <c r="O361" s="111">
        <f t="shared" si="6"/>
        <v>0.24139787999999998</v>
      </c>
    </row>
    <row r="362" spans="2:15">
      <c r="B362" s="117" t="s">
        <v>297</v>
      </c>
      <c r="C362" s="117" t="s">
        <v>298</v>
      </c>
      <c r="D362" s="117" t="s">
        <v>15</v>
      </c>
      <c r="E362" s="117" t="s">
        <v>72</v>
      </c>
      <c r="F362" s="117" t="s">
        <v>299</v>
      </c>
      <c r="G362" s="117" t="s">
        <v>300</v>
      </c>
      <c r="H362" s="117" t="s">
        <v>101</v>
      </c>
      <c r="I362" s="117" t="s">
        <v>306</v>
      </c>
      <c r="J362" s="117" t="s">
        <v>302</v>
      </c>
      <c r="K362" s="117" t="s">
        <v>307</v>
      </c>
      <c r="L362" s="117" t="s">
        <v>96</v>
      </c>
      <c r="M362" s="117" t="s">
        <v>304</v>
      </c>
      <c r="N362" s="118">
        <v>19.57236</v>
      </c>
      <c r="O362" s="111">
        <f t="shared" si="6"/>
        <v>0.48930899999999999</v>
      </c>
    </row>
    <row r="363" spans="2:15">
      <c r="B363" s="117" t="s">
        <v>297</v>
      </c>
      <c r="C363" s="117" t="s">
        <v>298</v>
      </c>
      <c r="D363" s="117" t="s">
        <v>39</v>
      </c>
      <c r="E363" s="117" t="s">
        <v>64</v>
      </c>
      <c r="F363" s="117" t="s">
        <v>299</v>
      </c>
      <c r="G363" s="117" t="s">
        <v>300</v>
      </c>
      <c r="H363" s="117" t="s">
        <v>106</v>
      </c>
      <c r="I363" s="117" t="s">
        <v>301</v>
      </c>
      <c r="J363" s="117" t="s">
        <v>302</v>
      </c>
      <c r="K363" s="117" t="s">
        <v>303</v>
      </c>
      <c r="L363" s="117" t="s">
        <v>96</v>
      </c>
      <c r="M363" s="117" t="s">
        <v>304</v>
      </c>
      <c r="N363" s="118">
        <v>24.739930000000001</v>
      </c>
      <c r="O363" s="111">
        <f t="shared" si="6"/>
        <v>0.61849825000000003</v>
      </c>
    </row>
    <row r="364" spans="2:15">
      <c r="B364" s="117" t="s">
        <v>297</v>
      </c>
      <c r="C364" s="117" t="s">
        <v>298</v>
      </c>
      <c r="D364" s="117" t="s">
        <v>15</v>
      </c>
      <c r="E364" s="117" t="s">
        <v>72</v>
      </c>
      <c r="F364" s="117" t="s">
        <v>299</v>
      </c>
      <c r="G364" s="117" t="s">
        <v>305</v>
      </c>
      <c r="H364" s="117" t="s">
        <v>95</v>
      </c>
      <c r="I364" s="117" t="s">
        <v>301</v>
      </c>
      <c r="J364" s="117" t="s">
        <v>302</v>
      </c>
      <c r="K364" s="117" t="s">
        <v>303</v>
      </c>
      <c r="L364" s="117" t="s">
        <v>96</v>
      </c>
      <c r="M364" s="117" t="s">
        <v>304</v>
      </c>
      <c r="N364" s="118">
        <v>1.91734</v>
      </c>
      <c r="O364" s="111">
        <f t="shared" si="6"/>
        <v>0.57136732000000001</v>
      </c>
    </row>
    <row r="365" spans="2:15">
      <c r="B365" s="117" t="s">
        <v>297</v>
      </c>
      <c r="C365" s="117" t="s">
        <v>298</v>
      </c>
      <c r="D365" s="117" t="s">
        <v>14</v>
      </c>
      <c r="E365" s="117" t="s">
        <v>71</v>
      </c>
      <c r="F365" s="117" t="s">
        <v>299</v>
      </c>
      <c r="G365" s="117" t="s">
        <v>300</v>
      </c>
      <c r="H365" s="117" t="s">
        <v>95</v>
      </c>
      <c r="I365" s="117" t="s">
        <v>306</v>
      </c>
      <c r="J365" s="117" t="s">
        <v>302</v>
      </c>
      <c r="K365" s="117" t="s">
        <v>307</v>
      </c>
      <c r="L365" s="117" t="s">
        <v>96</v>
      </c>
      <c r="M365" s="117" t="s">
        <v>304</v>
      </c>
      <c r="N365" s="118">
        <v>48.859760000000001</v>
      </c>
      <c r="O365" s="111">
        <f t="shared" si="6"/>
        <v>1.2214940000000001</v>
      </c>
    </row>
    <row r="366" spans="2:15">
      <c r="B366" s="117" t="s">
        <v>297</v>
      </c>
      <c r="C366" s="117" t="s">
        <v>298</v>
      </c>
      <c r="D366" s="117" t="s">
        <v>314</v>
      </c>
      <c r="E366" s="117" t="s">
        <v>147</v>
      </c>
      <c r="F366" s="117" t="s">
        <v>299</v>
      </c>
      <c r="G366" s="117" t="s">
        <v>300</v>
      </c>
      <c r="H366" s="117" t="s">
        <v>95</v>
      </c>
      <c r="I366" s="117" t="s">
        <v>306</v>
      </c>
      <c r="J366" s="117" t="s">
        <v>302</v>
      </c>
      <c r="K366" s="117" t="s">
        <v>307</v>
      </c>
      <c r="L366" s="117" t="s">
        <v>96</v>
      </c>
      <c r="M366" s="117" t="s">
        <v>304</v>
      </c>
      <c r="N366" s="118">
        <v>607.80074999999999</v>
      </c>
      <c r="O366" s="111">
        <f t="shared" si="6"/>
        <v>15.195018749999999</v>
      </c>
    </row>
    <row r="367" spans="2:15">
      <c r="B367" s="117" t="s">
        <v>297</v>
      </c>
      <c r="C367" s="117" t="s">
        <v>298</v>
      </c>
      <c r="D367" s="117" t="s">
        <v>314</v>
      </c>
      <c r="E367" s="117" t="s">
        <v>147</v>
      </c>
      <c r="F367" s="117" t="s">
        <v>299</v>
      </c>
      <c r="G367" s="117" t="s">
        <v>305</v>
      </c>
      <c r="H367" s="117" t="s">
        <v>101</v>
      </c>
      <c r="I367" s="117" t="s">
        <v>306</v>
      </c>
      <c r="J367" s="117" t="s">
        <v>302</v>
      </c>
      <c r="K367" s="117" t="s">
        <v>307</v>
      </c>
      <c r="L367" s="117" t="s">
        <v>96</v>
      </c>
      <c r="M367" s="117" t="s">
        <v>304</v>
      </c>
      <c r="N367" s="118">
        <v>6.1512399999999996</v>
      </c>
      <c r="O367" s="111">
        <f t="shared" si="6"/>
        <v>1.8330695199999998</v>
      </c>
    </row>
    <row r="368" spans="2:15">
      <c r="B368" s="117" t="s">
        <v>297</v>
      </c>
      <c r="C368" s="117" t="s">
        <v>298</v>
      </c>
      <c r="D368" s="117" t="s">
        <v>39</v>
      </c>
      <c r="E368" s="117" t="s">
        <v>64</v>
      </c>
      <c r="F368" s="117" t="s">
        <v>299</v>
      </c>
      <c r="G368" s="117" t="s">
        <v>305</v>
      </c>
      <c r="H368" s="117" t="s">
        <v>101</v>
      </c>
      <c r="I368" s="117" t="s">
        <v>301</v>
      </c>
      <c r="J368" s="117" t="s">
        <v>302</v>
      </c>
      <c r="K368" s="117" t="s">
        <v>303</v>
      </c>
      <c r="L368" s="117" t="s">
        <v>96</v>
      </c>
      <c r="M368" s="117" t="s">
        <v>304</v>
      </c>
      <c r="N368" s="118">
        <v>2.0008300000000001</v>
      </c>
      <c r="O368" s="111">
        <f t="shared" si="6"/>
        <v>0.59624734000000001</v>
      </c>
    </row>
    <row r="369" spans="2:15">
      <c r="B369" s="117" t="s">
        <v>297</v>
      </c>
      <c r="C369" s="117" t="s">
        <v>298</v>
      </c>
      <c r="D369" s="117" t="s">
        <v>39</v>
      </c>
      <c r="E369" s="117" t="s">
        <v>64</v>
      </c>
      <c r="F369" s="117" t="s">
        <v>299</v>
      </c>
      <c r="G369" s="117" t="s">
        <v>305</v>
      </c>
      <c r="H369" s="117" t="s">
        <v>95</v>
      </c>
      <c r="I369" s="117" t="s">
        <v>306</v>
      </c>
      <c r="J369" s="117" t="s">
        <v>302</v>
      </c>
      <c r="K369" s="117" t="s">
        <v>307</v>
      </c>
      <c r="L369" s="117" t="s">
        <v>96</v>
      </c>
      <c r="M369" s="117" t="s">
        <v>304</v>
      </c>
      <c r="N369" s="118">
        <v>0.11976000000000001</v>
      </c>
      <c r="O369" s="111">
        <f t="shared" si="6"/>
        <v>3.5688480000000002E-2</v>
      </c>
    </row>
    <row r="370" spans="2:15">
      <c r="B370" s="117" t="s">
        <v>297</v>
      </c>
      <c r="C370" s="117" t="s">
        <v>298</v>
      </c>
      <c r="D370" s="117" t="s">
        <v>37</v>
      </c>
      <c r="E370" s="117" t="s">
        <v>113</v>
      </c>
      <c r="F370" s="117" t="s">
        <v>299</v>
      </c>
      <c r="G370" s="117" t="s">
        <v>300</v>
      </c>
      <c r="H370" s="117" t="s">
        <v>95</v>
      </c>
      <c r="I370" s="117" t="s">
        <v>301</v>
      </c>
      <c r="J370" s="117" t="s">
        <v>302</v>
      </c>
      <c r="K370" s="117" t="s">
        <v>303</v>
      </c>
      <c r="L370" s="117" t="s">
        <v>96</v>
      </c>
      <c r="M370" s="117" t="s">
        <v>304</v>
      </c>
      <c r="N370" s="118">
        <v>1023.53674</v>
      </c>
      <c r="O370" s="111">
        <f t="shared" si="6"/>
        <v>25.5884185</v>
      </c>
    </row>
    <row r="371" spans="2:15">
      <c r="B371" s="117" t="s">
        <v>297</v>
      </c>
      <c r="C371" s="117" t="s">
        <v>298</v>
      </c>
      <c r="D371" s="117" t="s">
        <v>37</v>
      </c>
      <c r="E371" s="117" t="s">
        <v>113</v>
      </c>
      <c r="F371" s="117" t="s">
        <v>299</v>
      </c>
      <c r="G371" s="117" t="s">
        <v>300</v>
      </c>
      <c r="H371" s="117" t="s">
        <v>95</v>
      </c>
      <c r="I371" s="117" t="s">
        <v>306</v>
      </c>
      <c r="J371" s="117" t="s">
        <v>302</v>
      </c>
      <c r="K371" s="117" t="s">
        <v>307</v>
      </c>
      <c r="L371" s="117" t="s">
        <v>96</v>
      </c>
      <c r="M371" s="117" t="s">
        <v>304</v>
      </c>
      <c r="N371" s="118">
        <v>485.03165000000001</v>
      </c>
      <c r="O371" s="111">
        <f t="shared" si="6"/>
        <v>12.125791250000001</v>
      </c>
    </row>
    <row r="372" spans="2:15">
      <c r="B372" s="117" t="s">
        <v>297</v>
      </c>
      <c r="C372" s="117" t="s">
        <v>298</v>
      </c>
      <c r="D372" s="117" t="s">
        <v>37</v>
      </c>
      <c r="E372" s="117" t="s">
        <v>113</v>
      </c>
      <c r="F372" s="117" t="s">
        <v>299</v>
      </c>
      <c r="G372" s="117" t="s">
        <v>305</v>
      </c>
      <c r="H372" s="117" t="s">
        <v>95</v>
      </c>
      <c r="I372" s="117" t="s">
        <v>301</v>
      </c>
      <c r="J372" s="117" t="s">
        <v>302</v>
      </c>
      <c r="K372" s="117" t="s">
        <v>303</v>
      </c>
      <c r="L372" s="117" t="s">
        <v>96</v>
      </c>
      <c r="M372" s="117" t="s">
        <v>304</v>
      </c>
      <c r="N372" s="118">
        <v>38.086590000000001</v>
      </c>
      <c r="O372" s="111">
        <f t="shared" si="6"/>
        <v>11.349803820000002</v>
      </c>
    </row>
    <row r="373" spans="2:15">
      <c r="B373" s="117" t="s">
        <v>297</v>
      </c>
      <c r="C373" s="117" t="s">
        <v>298</v>
      </c>
      <c r="D373" s="117" t="s">
        <v>37</v>
      </c>
      <c r="E373" s="117" t="s">
        <v>113</v>
      </c>
      <c r="F373" s="117" t="s">
        <v>299</v>
      </c>
      <c r="G373" s="117" t="s">
        <v>305</v>
      </c>
      <c r="H373" s="117" t="s">
        <v>101</v>
      </c>
      <c r="I373" s="117" t="s">
        <v>301</v>
      </c>
      <c r="J373" s="117" t="s">
        <v>302</v>
      </c>
      <c r="K373" s="117" t="s">
        <v>303</v>
      </c>
      <c r="L373" s="117" t="s">
        <v>96</v>
      </c>
      <c r="M373" s="117" t="s">
        <v>304</v>
      </c>
      <c r="N373" s="118">
        <v>37.755330000000001</v>
      </c>
      <c r="O373" s="111">
        <f t="shared" si="6"/>
        <v>11.251088340000001</v>
      </c>
    </row>
    <row r="374" spans="2:15">
      <c r="B374" s="117" t="s">
        <v>297</v>
      </c>
      <c r="C374" s="117" t="s">
        <v>298</v>
      </c>
      <c r="D374" s="117" t="s">
        <v>37</v>
      </c>
      <c r="E374" s="117" t="s">
        <v>113</v>
      </c>
      <c r="F374" s="117" t="s">
        <v>299</v>
      </c>
      <c r="G374" s="117" t="s">
        <v>305</v>
      </c>
      <c r="H374" s="117" t="s">
        <v>95</v>
      </c>
      <c r="I374" s="117" t="s">
        <v>306</v>
      </c>
      <c r="J374" s="117" t="s">
        <v>302</v>
      </c>
      <c r="K374" s="117" t="s">
        <v>307</v>
      </c>
      <c r="L374" s="117" t="s">
        <v>96</v>
      </c>
      <c r="M374" s="117" t="s">
        <v>304</v>
      </c>
      <c r="N374" s="118">
        <v>4.8081100000000001</v>
      </c>
      <c r="O374" s="111">
        <f t="shared" si="6"/>
        <v>1.43281678</v>
      </c>
    </row>
    <row r="375" spans="2:15">
      <c r="B375" s="117" t="s">
        <v>297</v>
      </c>
      <c r="C375" s="117" t="s">
        <v>298</v>
      </c>
      <c r="D375" s="117" t="s">
        <v>310</v>
      </c>
      <c r="E375" s="117" t="s">
        <v>311</v>
      </c>
      <c r="F375" s="117" t="s">
        <v>299</v>
      </c>
      <c r="G375" s="117" t="s">
        <v>305</v>
      </c>
      <c r="H375" s="117" t="s">
        <v>95</v>
      </c>
      <c r="I375" s="117" t="s">
        <v>301</v>
      </c>
      <c r="J375" s="117" t="s">
        <v>302</v>
      </c>
      <c r="K375" s="117" t="s">
        <v>303</v>
      </c>
      <c r="L375" s="117" t="s">
        <v>96</v>
      </c>
      <c r="M375" s="117" t="s">
        <v>304</v>
      </c>
      <c r="N375" s="118">
        <v>618.57704000000001</v>
      </c>
      <c r="O375" s="111">
        <f t="shared" si="6"/>
        <v>184.33595792000003</v>
      </c>
    </row>
    <row r="376" spans="2:15">
      <c r="B376" s="117" t="s">
        <v>297</v>
      </c>
      <c r="C376" s="117" t="s">
        <v>298</v>
      </c>
      <c r="D376" s="117" t="s">
        <v>310</v>
      </c>
      <c r="E376" s="117" t="s">
        <v>311</v>
      </c>
      <c r="F376" s="117" t="s">
        <v>299</v>
      </c>
      <c r="G376" s="117" t="s">
        <v>305</v>
      </c>
      <c r="H376" s="117" t="s">
        <v>106</v>
      </c>
      <c r="I376" s="117" t="s">
        <v>301</v>
      </c>
      <c r="J376" s="117" t="s">
        <v>302</v>
      </c>
      <c r="K376" s="117" t="s">
        <v>303</v>
      </c>
      <c r="L376" s="117" t="s">
        <v>96</v>
      </c>
      <c r="M376" s="117" t="s">
        <v>304</v>
      </c>
      <c r="N376" s="118">
        <v>621.27319</v>
      </c>
      <c r="O376" s="111">
        <f t="shared" si="6"/>
        <v>185.13941062000001</v>
      </c>
    </row>
    <row r="377" spans="2:15">
      <c r="B377" s="117" t="s">
        <v>297</v>
      </c>
      <c r="C377" s="117" t="s">
        <v>298</v>
      </c>
      <c r="D377" s="117" t="s">
        <v>36</v>
      </c>
      <c r="E377" s="117" t="s">
        <v>121</v>
      </c>
      <c r="F377" s="117" t="s">
        <v>299</v>
      </c>
      <c r="G377" s="117" t="s">
        <v>305</v>
      </c>
      <c r="H377" s="117" t="s">
        <v>101</v>
      </c>
      <c r="I377" s="117" t="s">
        <v>301</v>
      </c>
      <c r="J377" s="117" t="s">
        <v>302</v>
      </c>
      <c r="K377" s="117" t="s">
        <v>303</v>
      </c>
      <c r="L377" s="117" t="s">
        <v>96</v>
      </c>
      <c r="M377" s="117" t="s">
        <v>304</v>
      </c>
      <c r="N377" s="118">
        <v>12.51196</v>
      </c>
      <c r="O377" s="111">
        <f t="shared" si="6"/>
        <v>3.7285640799999999</v>
      </c>
    </row>
    <row r="378" spans="2:15">
      <c r="B378" s="117" t="s">
        <v>297</v>
      </c>
      <c r="C378" s="117" t="s">
        <v>298</v>
      </c>
      <c r="D378" s="117" t="s">
        <v>35</v>
      </c>
      <c r="E378" s="117" t="s">
        <v>114</v>
      </c>
      <c r="F378" s="117" t="s">
        <v>299</v>
      </c>
      <c r="G378" s="117" t="s">
        <v>300</v>
      </c>
      <c r="H378" s="117" t="s">
        <v>95</v>
      </c>
      <c r="I378" s="117" t="s">
        <v>301</v>
      </c>
      <c r="J378" s="117" t="s">
        <v>302</v>
      </c>
      <c r="K378" s="117" t="s">
        <v>303</v>
      </c>
      <c r="L378" s="117" t="s">
        <v>96</v>
      </c>
      <c r="M378" s="117" t="s">
        <v>304</v>
      </c>
      <c r="N378" s="118">
        <v>1634.9043999999999</v>
      </c>
      <c r="O378" s="111">
        <f t="shared" si="6"/>
        <v>40.872610000000002</v>
      </c>
    </row>
    <row r="379" spans="2:15">
      <c r="B379" s="117" t="s">
        <v>297</v>
      </c>
      <c r="C379" s="117" t="s">
        <v>298</v>
      </c>
      <c r="D379" s="117" t="s">
        <v>35</v>
      </c>
      <c r="E379" s="117" t="s">
        <v>114</v>
      </c>
      <c r="F379" s="117" t="s">
        <v>299</v>
      </c>
      <c r="G379" s="117" t="s">
        <v>305</v>
      </c>
      <c r="H379" s="117" t="s">
        <v>95</v>
      </c>
      <c r="I379" s="117" t="s">
        <v>301</v>
      </c>
      <c r="J379" s="117" t="s">
        <v>302</v>
      </c>
      <c r="K379" s="117" t="s">
        <v>303</v>
      </c>
      <c r="L379" s="117" t="s">
        <v>96</v>
      </c>
      <c r="M379" s="117" t="s">
        <v>304</v>
      </c>
      <c r="N379" s="118">
        <v>120.56232</v>
      </c>
      <c r="O379" s="111">
        <f t="shared" si="6"/>
        <v>35.927571360000002</v>
      </c>
    </row>
    <row r="380" spans="2:15">
      <c r="B380" s="117" t="s">
        <v>297</v>
      </c>
      <c r="C380" s="117" t="s">
        <v>298</v>
      </c>
      <c r="D380" s="117" t="s">
        <v>35</v>
      </c>
      <c r="E380" s="117" t="s">
        <v>114</v>
      </c>
      <c r="F380" s="117" t="s">
        <v>299</v>
      </c>
      <c r="G380" s="117" t="s">
        <v>305</v>
      </c>
      <c r="H380" s="117" t="s">
        <v>101</v>
      </c>
      <c r="I380" s="117" t="s">
        <v>301</v>
      </c>
      <c r="J380" s="117" t="s">
        <v>302</v>
      </c>
      <c r="K380" s="117" t="s">
        <v>303</v>
      </c>
      <c r="L380" s="117" t="s">
        <v>96</v>
      </c>
      <c r="M380" s="117" t="s">
        <v>304</v>
      </c>
      <c r="N380" s="118">
        <v>117.77710999999999</v>
      </c>
      <c r="O380" s="111">
        <f t="shared" si="6"/>
        <v>35.097578779999999</v>
      </c>
    </row>
    <row r="381" spans="2:15">
      <c r="B381" s="117" t="s">
        <v>297</v>
      </c>
      <c r="C381" s="117" t="s">
        <v>298</v>
      </c>
      <c r="D381" s="117" t="s">
        <v>312</v>
      </c>
      <c r="E381" s="117" t="s">
        <v>112</v>
      </c>
      <c r="F381" s="117" t="s">
        <v>299</v>
      </c>
      <c r="G381" s="117" t="s">
        <v>300</v>
      </c>
      <c r="H381" s="117" t="s">
        <v>106</v>
      </c>
      <c r="I381" s="117" t="s">
        <v>301</v>
      </c>
      <c r="J381" s="117" t="s">
        <v>302</v>
      </c>
      <c r="K381" s="117" t="s">
        <v>303</v>
      </c>
      <c r="L381" s="117" t="s">
        <v>96</v>
      </c>
      <c r="M381" s="117" t="s">
        <v>304</v>
      </c>
      <c r="N381" s="118">
        <v>190.18237999999999</v>
      </c>
      <c r="O381" s="111">
        <f t="shared" si="6"/>
        <v>4.7545595</v>
      </c>
    </row>
    <row r="382" spans="2:15">
      <c r="B382" s="117" t="s">
        <v>297</v>
      </c>
      <c r="C382" s="117" t="s">
        <v>298</v>
      </c>
      <c r="D382" s="117" t="s">
        <v>312</v>
      </c>
      <c r="E382" s="117" t="s">
        <v>112</v>
      </c>
      <c r="F382" s="117" t="s">
        <v>299</v>
      </c>
      <c r="G382" s="117" t="s">
        <v>300</v>
      </c>
      <c r="H382" s="117" t="s">
        <v>106</v>
      </c>
      <c r="I382" s="117" t="s">
        <v>306</v>
      </c>
      <c r="J382" s="117" t="s">
        <v>302</v>
      </c>
      <c r="K382" s="117" t="s">
        <v>307</v>
      </c>
      <c r="L382" s="117" t="s">
        <v>96</v>
      </c>
      <c r="M382" s="117" t="s">
        <v>304</v>
      </c>
      <c r="N382" s="118">
        <v>165.63244</v>
      </c>
      <c r="O382" s="111">
        <f t="shared" si="6"/>
        <v>4.1408109999999994</v>
      </c>
    </row>
    <row r="383" spans="2:15">
      <c r="B383" s="117" t="s">
        <v>297</v>
      </c>
      <c r="C383" s="117" t="s">
        <v>298</v>
      </c>
      <c r="D383" s="117" t="s">
        <v>34</v>
      </c>
      <c r="E383" s="117" t="s">
        <v>62</v>
      </c>
      <c r="F383" s="117" t="s">
        <v>299</v>
      </c>
      <c r="G383" s="117" t="s">
        <v>300</v>
      </c>
      <c r="H383" s="117" t="s">
        <v>95</v>
      </c>
      <c r="I383" s="117" t="s">
        <v>306</v>
      </c>
      <c r="J383" s="117" t="s">
        <v>302</v>
      </c>
      <c r="K383" s="117" t="s">
        <v>307</v>
      </c>
      <c r="L383" s="117" t="s">
        <v>96</v>
      </c>
      <c r="M383" s="117" t="s">
        <v>304</v>
      </c>
      <c r="N383" s="118">
        <v>38.571649999999998</v>
      </c>
      <c r="O383" s="111">
        <f t="shared" si="6"/>
        <v>0.96429125000000004</v>
      </c>
    </row>
    <row r="384" spans="2:15">
      <c r="B384" s="117" t="s">
        <v>297</v>
      </c>
      <c r="C384" s="117" t="s">
        <v>298</v>
      </c>
      <c r="D384" s="117" t="s">
        <v>34</v>
      </c>
      <c r="E384" s="117" t="s">
        <v>62</v>
      </c>
      <c r="F384" s="117" t="s">
        <v>299</v>
      </c>
      <c r="G384" s="117" t="s">
        <v>305</v>
      </c>
      <c r="H384" s="117" t="s">
        <v>101</v>
      </c>
      <c r="I384" s="117" t="s">
        <v>301</v>
      </c>
      <c r="J384" s="117" t="s">
        <v>302</v>
      </c>
      <c r="K384" s="117" t="s">
        <v>303</v>
      </c>
      <c r="L384" s="117" t="s">
        <v>96</v>
      </c>
      <c r="M384" s="117" t="s">
        <v>304</v>
      </c>
      <c r="N384" s="118">
        <v>4.0505899999999997</v>
      </c>
      <c r="O384" s="111">
        <f t="shared" si="6"/>
        <v>1.20707582</v>
      </c>
    </row>
    <row r="385" spans="2:15">
      <c r="B385" s="117" t="s">
        <v>297</v>
      </c>
      <c r="C385" s="117" t="s">
        <v>298</v>
      </c>
      <c r="D385" s="117" t="s">
        <v>34</v>
      </c>
      <c r="E385" s="117" t="s">
        <v>62</v>
      </c>
      <c r="F385" s="117" t="s">
        <v>299</v>
      </c>
      <c r="G385" s="117" t="s">
        <v>305</v>
      </c>
      <c r="H385" s="117" t="s">
        <v>106</v>
      </c>
      <c r="I385" s="117" t="s">
        <v>306</v>
      </c>
      <c r="J385" s="117" t="s">
        <v>302</v>
      </c>
      <c r="K385" s="117" t="s">
        <v>307</v>
      </c>
      <c r="L385" s="117" t="s">
        <v>96</v>
      </c>
      <c r="M385" s="117" t="s">
        <v>304</v>
      </c>
      <c r="N385" s="118">
        <v>0.29077999999999998</v>
      </c>
      <c r="O385" s="111">
        <f t="shared" si="6"/>
        <v>8.6652439999999997E-2</v>
      </c>
    </row>
    <row r="386" spans="2:15">
      <c r="B386" s="117" t="s">
        <v>297</v>
      </c>
      <c r="C386" s="117" t="s">
        <v>298</v>
      </c>
      <c r="D386" s="117" t="s">
        <v>33</v>
      </c>
      <c r="E386" s="117" t="s">
        <v>65</v>
      </c>
      <c r="F386" s="117" t="s">
        <v>299</v>
      </c>
      <c r="G386" s="117" t="s">
        <v>300</v>
      </c>
      <c r="H386" s="117" t="s">
        <v>106</v>
      </c>
      <c r="I386" s="117" t="s">
        <v>301</v>
      </c>
      <c r="J386" s="117" t="s">
        <v>302</v>
      </c>
      <c r="K386" s="117" t="s">
        <v>303</v>
      </c>
      <c r="L386" s="117" t="s">
        <v>96</v>
      </c>
      <c r="M386" s="117" t="s">
        <v>304</v>
      </c>
      <c r="N386" s="118">
        <v>108.90752999999999</v>
      </c>
      <c r="O386" s="111">
        <f t="shared" si="6"/>
        <v>2.7226882499999996</v>
      </c>
    </row>
    <row r="387" spans="2:15">
      <c r="B387" s="117" t="s">
        <v>297</v>
      </c>
      <c r="C387" s="117" t="s">
        <v>298</v>
      </c>
      <c r="D387" s="117" t="s">
        <v>33</v>
      </c>
      <c r="E387" s="117" t="s">
        <v>65</v>
      </c>
      <c r="F387" s="117" t="s">
        <v>299</v>
      </c>
      <c r="G387" s="117" t="s">
        <v>300</v>
      </c>
      <c r="H387" s="117" t="s">
        <v>101</v>
      </c>
      <c r="I387" s="117" t="s">
        <v>306</v>
      </c>
      <c r="J387" s="117" t="s">
        <v>302</v>
      </c>
      <c r="K387" s="117" t="s">
        <v>307</v>
      </c>
      <c r="L387" s="117" t="s">
        <v>96</v>
      </c>
      <c r="M387" s="117" t="s">
        <v>304</v>
      </c>
      <c r="N387" s="118">
        <v>159.04723999999999</v>
      </c>
      <c r="O387" s="111">
        <f t="shared" si="6"/>
        <v>3.9761809999999995</v>
      </c>
    </row>
    <row r="388" spans="2:15">
      <c r="B388" s="117" t="s">
        <v>297</v>
      </c>
      <c r="C388" s="117" t="s">
        <v>298</v>
      </c>
      <c r="D388" s="117" t="s">
        <v>33</v>
      </c>
      <c r="E388" s="117" t="s">
        <v>65</v>
      </c>
      <c r="F388" s="117" t="s">
        <v>299</v>
      </c>
      <c r="G388" s="117" t="s">
        <v>305</v>
      </c>
      <c r="H388" s="117" t="s">
        <v>106</v>
      </c>
      <c r="I388" s="117" t="s">
        <v>301</v>
      </c>
      <c r="J388" s="117" t="s">
        <v>302</v>
      </c>
      <c r="K388" s="117" t="s">
        <v>303</v>
      </c>
      <c r="L388" s="117" t="s">
        <v>96</v>
      </c>
      <c r="M388" s="117" t="s">
        <v>304</v>
      </c>
      <c r="N388" s="118">
        <v>12.647169999999999</v>
      </c>
      <c r="O388" s="111">
        <f t="shared" si="6"/>
        <v>3.76885666</v>
      </c>
    </row>
    <row r="389" spans="2:15">
      <c r="B389" s="117" t="s">
        <v>297</v>
      </c>
      <c r="C389" s="117" t="s">
        <v>298</v>
      </c>
      <c r="D389" s="117" t="s">
        <v>32</v>
      </c>
      <c r="E389" s="117" t="s">
        <v>111</v>
      </c>
      <c r="F389" s="117" t="s">
        <v>299</v>
      </c>
      <c r="G389" s="117" t="s">
        <v>300</v>
      </c>
      <c r="H389" s="117" t="s">
        <v>101</v>
      </c>
      <c r="I389" s="117" t="s">
        <v>301</v>
      </c>
      <c r="J389" s="117" t="s">
        <v>302</v>
      </c>
      <c r="K389" s="117" t="s">
        <v>303</v>
      </c>
      <c r="L389" s="117" t="s">
        <v>96</v>
      </c>
      <c r="M389" s="117" t="s">
        <v>304</v>
      </c>
      <c r="N389" s="118">
        <v>453.83951999999999</v>
      </c>
      <c r="O389" s="111">
        <f t="shared" si="6"/>
        <v>11.345988</v>
      </c>
    </row>
    <row r="390" spans="2:15">
      <c r="B390" s="117" t="s">
        <v>297</v>
      </c>
      <c r="C390" s="117" t="s">
        <v>298</v>
      </c>
      <c r="D390" s="117" t="s">
        <v>32</v>
      </c>
      <c r="E390" s="117" t="s">
        <v>111</v>
      </c>
      <c r="F390" s="117" t="s">
        <v>299</v>
      </c>
      <c r="G390" s="117" t="s">
        <v>300</v>
      </c>
      <c r="H390" s="117" t="s">
        <v>101</v>
      </c>
      <c r="I390" s="117" t="s">
        <v>306</v>
      </c>
      <c r="J390" s="117" t="s">
        <v>302</v>
      </c>
      <c r="K390" s="117" t="s">
        <v>307</v>
      </c>
      <c r="L390" s="117" t="s">
        <v>96</v>
      </c>
      <c r="M390" s="117" t="s">
        <v>304</v>
      </c>
      <c r="N390" s="118">
        <v>13.64852</v>
      </c>
      <c r="O390" s="111">
        <f t="shared" si="6"/>
        <v>0.34121299999999999</v>
      </c>
    </row>
    <row r="391" spans="2:15">
      <c r="B391" s="117" t="s">
        <v>297</v>
      </c>
      <c r="C391" s="117" t="s">
        <v>298</v>
      </c>
      <c r="D391" s="117" t="s">
        <v>32</v>
      </c>
      <c r="E391" s="117" t="s">
        <v>111</v>
      </c>
      <c r="F391" s="117" t="s">
        <v>299</v>
      </c>
      <c r="G391" s="117" t="s">
        <v>305</v>
      </c>
      <c r="H391" s="117" t="s">
        <v>95</v>
      </c>
      <c r="I391" s="117" t="s">
        <v>301</v>
      </c>
      <c r="J391" s="117" t="s">
        <v>302</v>
      </c>
      <c r="K391" s="117" t="s">
        <v>303</v>
      </c>
      <c r="L391" s="117" t="s">
        <v>96</v>
      </c>
      <c r="M391" s="117" t="s">
        <v>304</v>
      </c>
      <c r="N391" s="118">
        <v>22.97775</v>
      </c>
      <c r="O391" s="111">
        <f t="shared" si="6"/>
        <v>6.8473695000000001</v>
      </c>
    </row>
    <row r="392" spans="2:15">
      <c r="B392" s="117" t="s">
        <v>297</v>
      </c>
      <c r="C392" s="117" t="s">
        <v>298</v>
      </c>
      <c r="D392" s="117" t="s">
        <v>31</v>
      </c>
      <c r="E392" s="117" t="s">
        <v>124</v>
      </c>
      <c r="F392" s="117" t="s">
        <v>299</v>
      </c>
      <c r="G392" s="117" t="s">
        <v>300</v>
      </c>
      <c r="H392" s="117" t="s">
        <v>101</v>
      </c>
      <c r="I392" s="117" t="s">
        <v>306</v>
      </c>
      <c r="J392" s="117" t="s">
        <v>302</v>
      </c>
      <c r="K392" s="117" t="s">
        <v>307</v>
      </c>
      <c r="L392" s="117" t="s">
        <v>96</v>
      </c>
      <c r="M392" s="117" t="s">
        <v>304</v>
      </c>
      <c r="N392" s="118">
        <v>9.3149700000000006</v>
      </c>
      <c r="O392" s="111">
        <f t="shared" si="6"/>
        <v>0.23287425</v>
      </c>
    </row>
    <row r="393" spans="2:15">
      <c r="B393" s="117" t="s">
        <v>297</v>
      </c>
      <c r="C393" s="117" t="s">
        <v>298</v>
      </c>
      <c r="D393" s="117" t="s">
        <v>31</v>
      </c>
      <c r="E393" s="117" t="s">
        <v>124</v>
      </c>
      <c r="F393" s="117" t="s">
        <v>299</v>
      </c>
      <c r="G393" s="117" t="s">
        <v>305</v>
      </c>
      <c r="H393" s="117" t="s">
        <v>95</v>
      </c>
      <c r="I393" s="117" t="s">
        <v>306</v>
      </c>
      <c r="J393" s="117" t="s">
        <v>302</v>
      </c>
      <c r="K393" s="117" t="s">
        <v>307</v>
      </c>
      <c r="L393" s="117" t="s">
        <v>96</v>
      </c>
      <c r="M393" s="117" t="s">
        <v>304</v>
      </c>
      <c r="N393" s="118">
        <v>2.2509999999999999E-2</v>
      </c>
      <c r="O393" s="111">
        <f t="shared" si="6"/>
        <v>6.7079799999999997E-3</v>
      </c>
    </row>
    <row r="394" spans="2:15">
      <c r="B394" s="117" t="s">
        <v>297</v>
      </c>
      <c r="C394" s="117" t="s">
        <v>298</v>
      </c>
      <c r="D394" s="117" t="s">
        <v>31</v>
      </c>
      <c r="E394" s="117" t="s">
        <v>124</v>
      </c>
      <c r="F394" s="117" t="s">
        <v>299</v>
      </c>
      <c r="G394" s="117" t="s">
        <v>305</v>
      </c>
      <c r="H394" s="117" t="s">
        <v>101</v>
      </c>
      <c r="I394" s="117" t="s">
        <v>306</v>
      </c>
      <c r="J394" s="117" t="s">
        <v>302</v>
      </c>
      <c r="K394" s="117" t="s">
        <v>307</v>
      </c>
      <c r="L394" s="117" t="s">
        <v>96</v>
      </c>
      <c r="M394" s="117" t="s">
        <v>304</v>
      </c>
      <c r="N394" s="118">
        <v>2.5420000000000002E-2</v>
      </c>
      <c r="O394" s="111">
        <f t="shared" si="6"/>
        <v>7.5751600000000001E-3</v>
      </c>
    </row>
    <row r="395" spans="2:15">
      <c r="B395" s="117" t="s">
        <v>297</v>
      </c>
      <c r="C395" s="117" t="s">
        <v>298</v>
      </c>
      <c r="D395" s="117" t="s">
        <v>30</v>
      </c>
      <c r="E395" s="117" t="s">
        <v>115</v>
      </c>
      <c r="F395" s="117" t="s">
        <v>299</v>
      </c>
      <c r="G395" s="117" t="s">
        <v>300</v>
      </c>
      <c r="H395" s="117" t="s">
        <v>106</v>
      </c>
      <c r="I395" s="117" t="s">
        <v>306</v>
      </c>
      <c r="J395" s="117" t="s">
        <v>302</v>
      </c>
      <c r="K395" s="117" t="s">
        <v>307</v>
      </c>
      <c r="L395" s="117" t="s">
        <v>96</v>
      </c>
      <c r="M395" s="117" t="s">
        <v>304</v>
      </c>
      <c r="N395" s="118">
        <v>671.37654999999995</v>
      </c>
      <c r="O395" s="111">
        <f t="shared" si="6"/>
        <v>16.784413749999999</v>
      </c>
    </row>
    <row r="396" spans="2:15">
      <c r="B396" s="117" t="s">
        <v>297</v>
      </c>
      <c r="C396" s="117" t="s">
        <v>298</v>
      </c>
      <c r="D396" s="117" t="s">
        <v>313</v>
      </c>
      <c r="E396" s="117" t="s">
        <v>143</v>
      </c>
      <c r="F396" s="117" t="s">
        <v>299</v>
      </c>
      <c r="G396" s="117" t="s">
        <v>305</v>
      </c>
      <c r="H396" s="117" t="s">
        <v>106</v>
      </c>
      <c r="I396" s="117" t="s">
        <v>306</v>
      </c>
      <c r="J396" s="117" t="s">
        <v>302</v>
      </c>
      <c r="K396" s="117" t="s">
        <v>307</v>
      </c>
      <c r="L396" s="117" t="s">
        <v>96</v>
      </c>
      <c r="M396" s="117" t="s">
        <v>304</v>
      </c>
      <c r="N396" s="118">
        <v>2.5600000000000002E-3</v>
      </c>
      <c r="O396" s="111">
        <f t="shared" si="6"/>
        <v>7.6288000000000007E-4</v>
      </c>
    </row>
    <row r="397" spans="2:15">
      <c r="B397" s="117" t="s">
        <v>297</v>
      </c>
      <c r="C397" s="117" t="s">
        <v>298</v>
      </c>
      <c r="D397" s="117" t="s">
        <v>28</v>
      </c>
      <c r="E397" s="117" t="s">
        <v>67</v>
      </c>
      <c r="F397" s="117" t="s">
        <v>299</v>
      </c>
      <c r="G397" s="117" t="s">
        <v>300</v>
      </c>
      <c r="H397" s="117" t="s">
        <v>106</v>
      </c>
      <c r="I397" s="117" t="s">
        <v>301</v>
      </c>
      <c r="J397" s="117" t="s">
        <v>302</v>
      </c>
      <c r="K397" s="117" t="s">
        <v>303</v>
      </c>
      <c r="L397" s="117" t="s">
        <v>96</v>
      </c>
      <c r="M397" s="117" t="s">
        <v>304</v>
      </c>
      <c r="N397" s="118">
        <v>76.158230000000003</v>
      </c>
      <c r="O397" s="111">
        <f t="shared" si="6"/>
        <v>1.9039557500000002</v>
      </c>
    </row>
    <row r="398" spans="2:15">
      <c r="B398" s="117" t="s">
        <v>297</v>
      </c>
      <c r="C398" s="117" t="s">
        <v>298</v>
      </c>
      <c r="D398" s="117" t="s">
        <v>27</v>
      </c>
      <c r="E398" s="117" t="s">
        <v>117</v>
      </c>
      <c r="F398" s="117" t="s">
        <v>299</v>
      </c>
      <c r="G398" s="117" t="s">
        <v>300</v>
      </c>
      <c r="H398" s="117" t="s">
        <v>95</v>
      </c>
      <c r="I398" s="117" t="s">
        <v>306</v>
      </c>
      <c r="J398" s="117" t="s">
        <v>302</v>
      </c>
      <c r="K398" s="117" t="s">
        <v>307</v>
      </c>
      <c r="L398" s="117" t="s">
        <v>96</v>
      </c>
      <c r="M398" s="117" t="s">
        <v>304</v>
      </c>
      <c r="N398" s="118">
        <v>3.7831700000000001</v>
      </c>
      <c r="O398" s="111">
        <f t="shared" si="6"/>
        <v>9.4579250000000004E-2</v>
      </c>
    </row>
    <row r="399" spans="2:15">
      <c r="B399" s="117" t="s">
        <v>297</v>
      </c>
      <c r="C399" s="117" t="s">
        <v>298</v>
      </c>
      <c r="D399" s="117" t="s">
        <v>26</v>
      </c>
      <c r="E399" s="117" t="s">
        <v>66</v>
      </c>
      <c r="F399" s="117" t="s">
        <v>299</v>
      </c>
      <c r="G399" s="117" t="s">
        <v>300</v>
      </c>
      <c r="H399" s="117" t="s">
        <v>101</v>
      </c>
      <c r="I399" s="117" t="s">
        <v>301</v>
      </c>
      <c r="J399" s="117" t="s">
        <v>302</v>
      </c>
      <c r="K399" s="117" t="s">
        <v>303</v>
      </c>
      <c r="L399" s="117" t="s">
        <v>96</v>
      </c>
      <c r="M399" s="117" t="s">
        <v>304</v>
      </c>
      <c r="N399" s="118">
        <v>34.417999999999999</v>
      </c>
      <c r="O399" s="111">
        <f t="shared" si="6"/>
        <v>0.86044999999999994</v>
      </c>
    </row>
    <row r="400" spans="2:15">
      <c r="B400" s="117" t="s">
        <v>297</v>
      </c>
      <c r="C400" s="117" t="s">
        <v>298</v>
      </c>
      <c r="D400" s="117" t="s">
        <v>26</v>
      </c>
      <c r="E400" s="117" t="s">
        <v>66</v>
      </c>
      <c r="F400" s="117" t="s">
        <v>299</v>
      </c>
      <c r="G400" s="117" t="s">
        <v>305</v>
      </c>
      <c r="H400" s="117" t="s">
        <v>101</v>
      </c>
      <c r="I400" s="117" t="s">
        <v>306</v>
      </c>
      <c r="J400" s="117" t="s">
        <v>302</v>
      </c>
      <c r="K400" s="117" t="s">
        <v>307</v>
      </c>
      <c r="L400" s="117" t="s">
        <v>96</v>
      </c>
      <c r="M400" s="117" t="s">
        <v>304</v>
      </c>
      <c r="N400" s="118">
        <v>0.12123</v>
      </c>
      <c r="O400" s="111">
        <f t="shared" si="6"/>
        <v>3.6126539999999999E-2</v>
      </c>
    </row>
    <row r="401" spans="2:15">
      <c r="B401" s="117" t="s">
        <v>297</v>
      </c>
      <c r="C401" s="117" t="s">
        <v>298</v>
      </c>
      <c r="D401" s="117" t="s">
        <v>23</v>
      </c>
      <c r="E401" s="117" t="s">
        <v>118</v>
      </c>
      <c r="F401" s="117" t="s">
        <v>299</v>
      </c>
      <c r="G401" s="117" t="s">
        <v>300</v>
      </c>
      <c r="H401" s="117" t="s">
        <v>106</v>
      </c>
      <c r="I401" s="117" t="s">
        <v>301</v>
      </c>
      <c r="J401" s="117" t="s">
        <v>302</v>
      </c>
      <c r="K401" s="117" t="s">
        <v>303</v>
      </c>
      <c r="L401" s="117" t="s">
        <v>96</v>
      </c>
      <c r="M401" s="117" t="s">
        <v>304</v>
      </c>
      <c r="N401" s="118">
        <v>1.39937</v>
      </c>
      <c r="O401" s="111">
        <f t="shared" si="6"/>
        <v>3.4984250000000001E-2</v>
      </c>
    </row>
    <row r="402" spans="2:15">
      <c r="B402" s="117" t="s">
        <v>297</v>
      </c>
      <c r="C402" s="117" t="s">
        <v>298</v>
      </c>
      <c r="D402" s="117" t="s">
        <v>23</v>
      </c>
      <c r="E402" s="117" t="s">
        <v>118</v>
      </c>
      <c r="F402" s="117" t="s">
        <v>299</v>
      </c>
      <c r="G402" s="117" t="s">
        <v>305</v>
      </c>
      <c r="H402" s="117" t="s">
        <v>95</v>
      </c>
      <c r="I402" s="117" t="s">
        <v>301</v>
      </c>
      <c r="J402" s="117" t="s">
        <v>302</v>
      </c>
      <c r="K402" s="117" t="s">
        <v>303</v>
      </c>
      <c r="L402" s="117" t="s">
        <v>96</v>
      </c>
      <c r="M402" s="117" t="s">
        <v>304</v>
      </c>
      <c r="N402" s="118">
        <v>0.11036</v>
      </c>
      <c r="O402" s="111">
        <f t="shared" si="6"/>
        <v>3.2887279999999998E-2</v>
      </c>
    </row>
    <row r="403" spans="2:15">
      <c r="B403" s="117" t="s">
        <v>297</v>
      </c>
      <c r="C403" s="117" t="s">
        <v>298</v>
      </c>
      <c r="D403" s="117" t="s">
        <v>22</v>
      </c>
      <c r="E403" s="117" t="s">
        <v>119</v>
      </c>
      <c r="F403" s="117" t="s">
        <v>299</v>
      </c>
      <c r="G403" s="117" t="s">
        <v>300</v>
      </c>
      <c r="H403" s="117" t="s">
        <v>95</v>
      </c>
      <c r="I403" s="117" t="s">
        <v>306</v>
      </c>
      <c r="J403" s="117" t="s">
        <v>302</v>
      </c>
      <c r="K403" s="117" t="s">
        <v>307</v>
      </c>
      <c r="L403" s="117" t="s">
        <v>96</v>
      </c>
      <c r="M403" s="117" t="s">
        <v>304</v>
      </c>
      <c r="N403" s="118">
        <v>243.35894999999999</v>
      </c>
      <c r="O403" s="111">
        <f t="shared" si="6"/>
        <v>6.0839737500000002</v>
      </c>
    </row>
    <row r="404" spans="2:15">
      <c r="B404" s="117" t="s">
        <v>297</v>
      </c>
      <c r="C404" s="117" t="s">
        <v>298</v>
      </c>
      <c r="D404" s="117" t="s">
        <v>22</v>
      </c>
      <c r="E404" s="117" t="s">
        <v>119</v>
      </c>
      <c r="F404" s="117" t="s">
        <v>299</v>
      </c>
      <c r="G404" s="117" t="s">
        <v>305</v>
      </c>
      <c r="H404" s="117" t="s">
        <v>101</v>
      </c>
      <c r="I404" s="117" t="s">
        <v>306</v>
      </c>
      <c r="J404" s="117" t="s">
        <v>302</v>
      </c>
      <c r="K404" s="117" t="s">
        <v>307</v>
      </c>
      <c r="L404" s="117" t="s">
        <v>96</v>
      </c>
      <c r="M404" s="117" t="s">
        <v>304</v>
      </c>
      <c r="N404" s="118">
        <v>0.54242999999999997</v>
      </c>
      <c r="O404" s="111">
        <f t="shared" si="6"/>
        <v>0.16164413999999999</v>
      </c>
    </row>
    <row r="405" spans="2:15">
      <c r="B405" s="117" t="s">
        <v>297</v>
      </c>
      <c r="C405" s="117" t="s">
        <v>298</v>
      </c>
      <c r="D405" s="117" t="s">
        <v>21</v>
      </c>
      <c r="E405" s="117" t="s">
        <v>126</v>
      </c>
      <c r="F405" s="117" t="s">
        <v>299</v>
      </c>
      <c r="G405" s="117" t="s">
        <v>300</v>
      </c>
      <c r="H405" s="117" t="s">
        <v>101</v>
      </c>
      <c r="I405" s="117" t="s">
        <v>306</v>
      </c>
      <c r="J405" s="117" t="s">
        <v>302</v>
      </c>
      <c r="K405" s="117" t="s">
        <v>307</v>
      </c>
      <c r="L405" s="117" t="s">
        <v>96</v>
      </c>
      <c r="M405" s="117" t="s">
        <v>304</v>
      </c>
      <c r="N405" s="118">
        <v>56.204210000000003</v>
      </c>
      <c r="O405" s="111">
        <f t="shared" si="6"/>
        <v>1.4051052500000001</v>
      </c>
    </row>
    <row r="406" spans="2:15">
      <c r="B406" s="117" t="s">
        <v>297</v>
      </c>
      <c r="C406" s="117" t="s">
        <v>298</v>
      </c>
      <c r="D406" s="117" t="s">
        <v>21</v>
      </c>
      <c r="E406" s="117" t="s">
        <v>126</v>
      </c>
      <c r="F406" s="117" t="s">
        <v>299</v>
      </c>
      <c r="G406" s="117" t="s">
        <v>305</v>
      </c>
      <c r="H406" s="117" t="s">
        <v>95</v>
      </c>
      <c r="I406" s="117" t="s">
        <v>306</v>
      </c>
      <c r="J406" s="117" t="s">
        <v>302</v>
      </c>
      <c r="K406" s="117" t="s">
        <v>307</v>
      </c>
      <c r="L406" s="117" t="s">
        <v>96</v>
      </c>
      <c r="M406" s="117" t="s">
        <v>304</v>
      </c>
      <c r="N406" s="118">
        <v>0.32190999999999997</v>
      </c>
      <c r="O406" s="111">
        <f t="shared" si="6"/>
        <v>9.5929179999999989E-2</v>
      </c>
    </row>
    <row r="407" spans="2:15">
      <c r="B407" s="117" t="s">
        <v>297</v>
      </c>
      <c r="C407" s="117" t="s">
        <v>298</v>
      </c>
      <c r="D407" s="117" t="s">
        <v>19</v>
      </c>
      <c r="E407" s="117" t="s">
        <v>69</v>
      </c>
      <c r="F407" s="117" t="s">
        <v>299</v>
      </c>
      <c r="G407" s="117" t="s">
        <v>300</v>
      </c>
      <c r="H407" s="117" t="s">
        <v>106</v>
      </c>
      <c r="I407" s="117" t="s">
        <v>306</v>
      </c>
      <c r="J407" s="117" t="s">
        <v>302</v>
      </c>
      <c r="K407" s="117" t="s">
        <v>307</v>
      </c>
      <c r="L407" s="117" t="s">
        <v>96</v>
      </c>
      <c r="M407" s="117" t="s">
        <v>304</v>
      </c>
      <c r="N407" s="118">
        <v>243.59941000000001</v>
      </c>
      <c r="O407" s="111">
        <f t="shared" si="6"/>
        <v>6.0899852499999998</v>
      </c>
    </row>
    <row r="408" spans="2:15">
      <c r="B408" s="117" t="s">
        <v>297</v>
      </c>
      <c r="C408" s="117" t="s">
        <v>298</v>
      </c>
      <c r="D408" s="117" t="s">
        <v>19</v>
      </c>
      <c r="E408" s="117" t="s">
        <v>69</v>
      </c>
      <c r="F408" s="117" t="s">
        <v>299</v>
      </c>
      <c r="G408" s="117" t="s">
        <v>305</v>
      </c>
      <c r="H408" s="117" t="s">
        <v>101</v>
      </c>
      <c r="I408" s="117" t="s">
        <v>306</v>
      </c>
      <c r="J408" s="117" t="s">
        <v>302</v>
      </c>
      <c r="K408" s="117" t="s">
        <v>307</v>
      </c>
      <c r="L408" s="117" t="s">
        <v>96</v>
      </c>
      <c r="M408" s="117" t="s">
        <v>304</v>
      </c>
      <c r="N408" s="118">
        <v>0.96272000000000002</v>
      </c>
      <c r="O408" s="111">
        <f t="shared" si="6"/>
        <v>0.28689056000000002</v>
      </c>
    </row>
    <row r="409" spans="2:15">
      <c r="B409" s="117" t="s">
        <v>297</v>
      </c>
      <c r="C409" s="117" t="s">
        <v>298</v>
      </c>
      <c r="D409" s="117" t="s">
        <v>16</v>
      </c>
      <c r="E409" s="117" t="s">
        <v>122</v>
      </c>
      <c r="F409" s="117" t="s">
        <v>299</v>
      </c>
      <c r="G409" s="117" t="s">
        <v>300</v>
      </c>
      <c r="H409" s="117" t="s">
        <v>95</v>
      </c>
      <c r="I409" s="117" t="s">
        <v>301</v>
      </c>
      <c r="J409" s="117" t="s">
        <v>302</v>
      </c>
      <c r="K409" s="117" t="s">
        <v>303</v>
      </c>
      <c r="L409" s="117" t="s">
        <v>96</v>
      </c>
      <c r="M409" s="117" t="s">
        <v>304</v>
      </c>
      <c r="N409" s="118">
        <v>138.06376</v>
      </c>
      <c r="O409" s="111">
        <f t="shared" si="6"/>
        <v>3.4515940000000001</v>
      </c>
    </row>
    <row r="410" spans="2:15">
      <c r="B410" s="117" t="s">
        <v>297</v>
      </c>
      <c r="C410" s="117" t="s">
        <v>298</v>
      </c>
      <c r="D410" s="117" t="s">
        <v>16</v>
      </c>
      <c r="E410" s="117" t="s">
        <v>122</v>
      </c>
      <c r="F410" s="117" t="s">
        <v>299</v>
      </c>
      <c r="G410" s="117" t="s">
        <v>305</v>
      </c>
      <c r="H410" s="117" t="s">
        <v>95</v>
      </c>
      <c r="I410" s="117" t="s">
        <v>306</v>
      </c>
      <c r="J410" s="117" t="s">
        <v>302</v>
      </c>
      <c r="K410" s="117" t="s">
        <v>307</v>
      </c>
      <c r="L410" s="117" t="s">
        <v>96</v>
      </c>
      <c r="M410" s="117" t="s">
        <v>304</v>
      </c>
      <c r="N410" s="118">
        <v>0.84036999999999995</v>
      </c>
      <c r="O410" s="111">
        <f t="shared" si="6"/>
        <v>0.25043025999999996</v>
      </c>
    </row>
    <row r="411" spans="2:15">
      <c r="B411" s="117" t="s">
        <v>297</v>
      </c>
      <c r="C411" s="117" t="s">
        <v>298</v>
      </c>
      <c r="D411" s="117" t="s">
        <v>15</v>
      </c>
      <c r="E411" s="117" t="s">
        <v>72</v>
      </c>
      <c r="F411" s="117" t="s">
        <v>299</v>
      </c>
      <c r="G411" s="117" t="s">
        <v>300</v>
      </c>
      <c r="H411" s="117" t="s">
        <v>95</v>
      </c>
      <c r="I411" s="117" t="s">
        <v>301</v>
      </c>
      <c r="J411" s="117" t="s">
        <v>302</v>
      </c>
      <c r="K411" s="117" t="s">
        <v>303</v>
      </c>
      <c r="L411" s="117" t="s">
        <v>96</v>
      </c>
      <c r="M411" s="117" t="s">
        <v>304</v>
      </c>
      <c r="N411" s="118">
        <v>47.103099999999998</v>
      </c>
      <c r="O411" s="111">
        <f t="shared" si="6"/>
        <v>1.1775774999999999</v>
      </c>
    </row>
    <row r="412" spans="2:15">
      <c r="B412" s="117" t="s">
        <v>297</v>
      </c>
      <c r="C412" s="117" t="s">
        <v>298</v>
      </c>
      <c r="D412" s="117" t="s">
        <v>15</v>
      </c>
      <c r="E412" s="117" t="s">
        <v>72</v>
      </c>
      <c r="F412" s="117" t="s">
        <v>299</v>
      </c>
      <c r="G412" s="117" t="s">
        <v>300</v>
      </c>
      <c r="H412" s="117" t="s">
        <v>106</v>
      </c>
      <c r="I412" s="117" t="s">
        <v>306</v>
      </c>
      <c r="J412" s="117" t="s">
        <v>302</v>
      </c>
      <c r="K412" s="117" t="s">
        <v>307</v>
      </c>
      <c r="L412" s="117" t="s">
        <v>96</v>
      </c>
      <c r="M412" s="117" t="s">
        <v>304</v>
      </c>
      <c r="N412" s="118">
        <v>17.5745</v>
      </c>
      <c r="O412" s="111">
        <f t="shared" si="6"/>
        <v>0.43936249999999999</v>
      </c>
    </row>
    <row r="413" spans="2:15">
      <c r="B413" s="117" t="s">
        <v>297</v>
      </c>
      <c r="C413" s="117" t="s">
        <v>298</v>
      </c>
      <c r="D413" s="117" t="s">
        <v>15</v>
      </c>
      <c r="E413" s="117" t="s">
        <v>72</v>
      </c>
      <c r="F413" s="117" t="s">
        <v>299</v>
      </c>
      <c r="G413" s="117" t="s">
        <v>305</v>
      </c>
      <c r="H413" s="117" t="s">
        <v>101</v>
      </c>
      <c r="I413" s="117" t="s">
        <v>306</v>
      </c>
      <c r="J413" s="117" t="s">
        <v>302</v>
      </c>
      <c r="K413" s="117" t="s">
        <v>307</v>
      </c>
      <c r="L413" s="117" t="s">
        <v>96</v>
      </c>
      <c r="M413" s="117" t="s">
        <v>304</v>
      </c>
      <c r="N413" s="118">
        <v>0.17645</v>
      </c>
      <c r="O413" s="111">
        <f t="shared" si="6"/>
        <v>5.25821E-2</v>
      </c>
    </row>
    <row r="414" spans="2:15">
      <c r="B414" s="117" t="s">
        <v>297</v>
      </c>
      <c r="C414" s="117" t="s">
        <v>298</v>
      </c>
      <c r="D414" s="117" t="s">
        <v>314</v>
      </c>
      <c r="E414" s="117" t="s">
        <v>147</v>
      </c>
      <c r="F414" s="117" t="s">
        <v>299</v>
      </c>
      <c r="G414" s="117" t="s">
        <v>300</v>
      </c>
      <c r="H414" s="117" t="s">
        <v>101</v>
      </c>
      <c r="I414" s="117" t="s">
        <v>301</v>
      </c>
      <c r="J414" s="117" t="s">
        <v>302</v>
      </c>
      <c r="K414" s="117" t="s">
        <v>303</v>
      </c>
      <c r="L414" s="117" t="s">
        <v>96</v>
      </c>
      <c r="M414" s="117" t="s">
        <v>304</v>
      </c>
      <c r="N414" s="118">
        <v>951.55694000000005</v>
      </c>
      <c r="O414" s="111">
        <f t="shared" si="6"/>
        <v>23.788923499999999</v>
      </c>
    </row>
    <row r="415" spans="2:15">
      <c r="B415" s="117" t="s">
        <v>297</v>
      </c>
      <c r="C415" s="117" t="s">
        <v>298</v>
      </c>
      <c r="D415" s="117" t="s">
        <v>314</v>
      </c>
      <c r="E415" s="117" t="s">
        <v>147</v>
      </c>
      <c r="F415" s="117" t="s">
        <v>299</v>
      </c>
      <c r="G415" s="117" t="s">
        <v>300</v>
      </c>
      <c r="H415" s="117" t="s">
        <v>101</v>
      </c>
      <c r="I415" s="117" t="s">
        <v>306</v>
      </c>
      <c r="J415" s="117" t="s">
        <v>302</v>
      </c>
      <c r="K415" s="117" t="s">
        <v>307</v>
      </c>
      <c r="L415" s="117" t="s">
        <v>96</v>
      </c>
      <c r="M415" s="117" t="s">
        <v>304</v>
      </c>
      <c r="N415" s="118">
        <v>654.37264000000005</v>
      </c>
      <c r="O415" s="111">
        <f t="shared" si="6"/>
        <v>16.359316</v>
      </c>
    </row>
    <row r="416" spans="2:15">
      <c r="B416" s="117" t="s">
        <v>297</v>
      </c>
      <c r="C416" s="117" t="s">
        <v>298</v>
      </c>
      <c r="D416" s="117" t="s">
        <v>314</v>
      </c>
      <c r="E416" s="117" t="s">
        <v>147</v>
      </c>
      <c r="F416" s="117" t="s">
        <v>299</v>
      </c>
      <c r="G416" s="117" t="s">
        <v>300</v>
      </c>
      <c r="H416" s="117" t="s">
        <v>106</v>
      </c>
      <c r="I416" s="117" t="s">
        <v>306</v>
      </c>
      <c r="J416" s="117" t="s">
        <v>302</v>
      </c>
      <c r="K416" s="117" t="s">
        <v>307</v>
      </c>
      <c r="L416" s="117" t="s">
        <v>96</v>
      </c>
      <c r="M416" s="117" t="s">
        <v>304</v>
      </c>
      <c r="N416" s="118">
        <v>593.46139000000005</v>
      </c>
      <c r="O416" s="111">
        <f t="shared" ref="O416:O423" si="7">IF(G416="CH4",N416*25,N416*298)/1000</f>
        <v>14.83653475</v>
      </c>
    </row>
    <row r="417" spans="2:15">
      <c r="B417" s="117" t="s">
        <v>297</v>
      </c>
      <c r="C417" s="117" t="s">
        <v>298</v>
      </c>
      <c r="D417" s="117" t="s">
        <v>314</v>
      </c>
      <c r="E417" s="117" t="s">
        <v>147</v>
      </c>
      <c r="F417" s="117" t="s">
        <v>299</v>
      </c>
      <c r="G417" s="117" t="s">
        <v>305</v>
      </c>
      <c r="H417" s="117" t="s">
        <v>106</v>
      </c>
      <c r="I417" s="117" t="s">
        <v>306</v>
      </c>
      <c r="J417" s="117" t="s">
        <v>302</v>
      </c>
      <c r="K417" s="117" t="s">
        <v>307</v>
      </c>
      <c r="L417" s="117" t="s">
        <v>96</v>
      </c>
      <c r="M417" s="117" t="s">
        <v>304</v>
      </c>
      <c r="N417" s="118">
        <v>6.8434799999999996</v>
      </c>
      <c r="O417" s="111">
        <f t="shared" si="7"/>
        <v>2.0393570400000001</v>
      </c>
    </row>
    <row r="418" spans="2:15">
      <c r="B418" s="117" t="s">
        <v>297</v>
      </c>
      <c r="C418" s="117" t="s">
        <v>298</v>
      </c>
      <c r="D418" s="117" t="s">
        <v>13</v>
      </c>
      <c r="E418" s="117" t="s">
        <v>315</v>
      </c>
      <c r="F418" s="117" t="s">
        <v>299</v>
      </c>
      <c r="G418" s="117" t="s">
        <v>300</v>
      </c>
      <c r="H418" s="117" t="s">
        <v>95</v>
      </c>
      <c r="I418" s="117" t="s">
        <v>301</v>
      </c>
      <c r="J418" s="117" t="s">
        <v>302</v>
      </c>
      <c r="K418" s="117" t="s">
        <v>303</v>
      </c>
      <c r="L418" s="117" t="s">
        <v>96</v>
      </c>
      <c r="M418" s="117" t="s">
        <v>304</v>
      </c>
      <c r="N418" s="118">
        <v>1149.03799</v>
      </c>
      <c r="O418" s="111">
        <f t="shared" si="7"/>
        <v>28.725949749999998</v>
      </c>
    </row>
    <row r="419" spans="2:15">
      <c r="B419" s="117" t="s">
        <v>297</v>
      </c>
      <c r="C419" s="117" t="s">
        <v>298</v>
      </c>
      <c r="D419" s="117" t="s">
        <v>13</v>
      </c>
      <c r="E419" s="117" t="s">
        <v>315</v>
      </c>
      <c r="F419" s="117" t="s">
        <v>299</v>
      </c>
      <c r="G419" s="117" t="s">
        <v>300</v>
      </c>
      <c r="H419" s="117" t="s">
        <v>106</v>
      </c>
      <c r="I419" s="117" t="s">
        <v>301</v>
      </c>
      <c r="J419" s="117" t="s">
        <v>302</v>
      </c>
      <c r="K419" s="117" t="s">
        <v>303</v>
      </c>
      <c r="L419" s="117" t="s">
        <v>96</v>
      </c>
      <c r="M419" s="117" t="s">
        <v>304</v>
      </c>
      <c r="N419" s="118">
        <v>1103.5909899999999</v>
      </c>
      <c r="O419" s="111">
        <f t="shared" si="7"/>
        <v>27.589774749999997</v>
      </c>
    </row>
    <row r="420" spans="2:15">
      <c r="B420" s="117" t="s">
        <v>297</v>
      </c>
      <c r="C420" s="117" t="s">
        <v>298</v>
      </c>
      <c r="D420" s="117" t="s">
        <v>13</v>
      </c>
      <c r="E420" s="117" t="s">
        <v>315</v>
      </c>
      <c r="F420" s="117" t="s">
        <v>299</v>
      </c>
      <c r="G420" s="117" t="s">
        <v>300</v>
      </c>
      <c r="H420" s="117" t="s">
        <v>106</v>
      </c>
      <c r="I420" s="117" t="s">
        <v>306</v>
      </c>
      <c r="J420" s="117" t="s">
        <v>302</v>
      </c>
      <c r="K420" s="117" t="s">
        <v>307</v>
      </c>
      <c r="L420" s="117" t="s">
        <v>96</v>
      </c>
      <c r="M420" s="117" t="s">
        <v>304</v>
      </c>
      <c r="N420" s="118">
        <v>662.48698999999999</v>
      </c>
      <c r="O420" s="111">
        <f t="shared" si="7"/>
        <v>16.562174749999997</v>
      </c>
    </row>
    <row r="421" spans="2:15">
      <c r="B421" s="117" t="s">
        <v>297</v>
      </c>
      <c r="C421" s="117" t="s">
        <v>298</v>
      </c>
      <c r="D421" s="117" t="s">
        <v>13</v>
      </c>
      <c r="E421" s="117" t="s">
        <v>315</v>
      </c>
      <c r="F421" s="117" t="s">
        <v>299</v>
      </c>
      <c r="G421" s="117" t="s">
        <v>305</v>
      </c>
      <c r="H421" s="117" t="s">
        <v>106</v>
      </c>
      <c r="I421" s="117" t="s">
        <v>301</v>
      </c>
      <c r="J421" s="117" t="s">
        <v>302</v>
      </c>
      <c r="K421" s="117" t="s">
        <v>303</v>
      </c>
      <c r="L421" s="117" t="s">
        <v>96</v>
      </c>
      <c r="M421" s="117" t="s">
        <v>304</v>
      </c>
      <c r="N421" s="118">
        <v>53.138840000000002</v>
      </c>
      <c r="O421" s="111">
        <f t="shared" si="7"/>
        <v>15.835374320000001</v>
      </c>
    </row>
    <row r="422" spans="2:15">
      <c r="B422" s="117" t="s">
        <v>297</v>
      </c>
      <c r="C422" s="117" t="s">
        <v>298</v>
      </c>
      <c r="D422" s="117" t="s">
        <v>13</v>
      </c>
      <c r="E422" s="117" t="s">
        <v>315</v>
      </c>
      <c r="F422" s="117" t="s">
        <v>299</v>
      </c>
      <c r="G422" s="117" t="s">
        <v>305</v>
      </c>
      <c r="H422" s="117" t="s">
        <v>95</v>
      </c>
      <c r="I422" s="117" t="s">
        <v>306</v>
      </c>
      <c r="J422" s="117" t="s">
        <v>302</v>
      </c>
      <c r="K422" s="117" t="s">
        <v>307</v>
      </c>
      <c r="L422" s="117" t="s">
        <v>96</v>
      </c>
      <c r="M422" s="117" t="s">
        <v>304</v>
      </c>
      <c r="N422" s="118">
        <v>3.4883199999999999</v>
      </c>
      <c r="O422" s="111">
        <f t="shared" si="7"/>
        <v>1.0395193600000001</v>
      </c>
    </row>
    <row r="423" spans="2:15">
      <c r="B423" s="117" t="s">
        <v>297</v>
      </c>
      <c r="C423" s="117" t="s">
        <v>298</v>
      </c>
      <c r="D423" s="117" t="s">
        <v>13</v>
      </c>
      <c r="E423" s="117" t="s">
        <v>315</v>
      </c>
      <c r="F423" s="117" t="s">
        <v>299</v>
      </c>
      <c r="G423" s="117" t="s">
        <v>305</v>
      </c>
      <c r="H423" s="117" t="s">
        <v>101</v>
      </c>
      <c r="I423" s="117" t="s">
        <v>306</v>
      </c>
      <c r="J423" s="117" t="s">
        <v>302</v>
      </c>
      <c r="K423" s="117" t="s">
        <v>307</v>
      </c>
      <c r="L423" s="117" t="s">
        <v>96</v>
      </c>
      <c r="M423" s="117" t="s">
        <v>304</v>
      </c>
      <c r="N423" s="118">
        <v>4.2320799999999998</v>
      </c>
      <c r="O423" s="111">
        <f t="shared" si="7"/>
        <v>1.2611598399999999</v>
      </c>
    </row>
  </sheetData>
  <autoFilter ref="B3:O3">
    <sortState xmlns:xlrd2="http://schemas.microsoft.com/office/spreadsheetml/2017/richdata2" ref="B4:O143">
      <sortCondition ref="E3:E143"/>
    </sortState>
  </autoFilter>
  <hyperlinks>
    <hyperlink ref="B1" r:id="rId1"/>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4"/>
  <sheetViews>
    <sheetView workbookViewId="0">
      <selection activeCell="R37" sqref="R36:R37"/>
    </sheetView>
  </sheetViews>
  <sheetFormatPr defaultRowHeight="15"/>
  <cols>
    <col min="3" max="3" width="9.140625" style="113"/>
  </cols>
  <sheetData>
    <row r="2" spans="2:7">
      <c r="B2" s="113" t="s">
        <v>298</v>
      </c>
      <c r="D2" s="113"/>
      <c r="E2" s="113"/>
      <c r="F2" s="113"/>
      <c r="G2" s="113"/>
    </row>
    <row r="3" spans="2:7">
      <c r="B3" s="113" t="s">
        <v>330</v>
      </c>
      <c r="D3" s="113"/>
      <c r="E3" s="113"/>
      <c r="F3" s="113"/>
      <c r="G3" s="113"/>
    </row>
    <row r="4" spans="2:7">
      <c r="B4" s="113"/>
      <c r="C4" s="113" t="s">
        <v>331</v>
      </c>
      <c r="D4" s="113">
        <v>2005</v>
      </c>
      <c r="E4" s="113">
        <v>2010</v>
      </c>
      <c r="F4" s="113">
        <v>2015</v>
      </c>
      <c r="G4" s="113">
        <v>2016</v>
      </c>
    </row>
    <row r="5" spans="2:7">
      <c r="B5" s="113"/>
      <c r="C5" s="113" t="s">
        <v>48</v>
      </c>
      <c r="D5" s="49">
        <v>33.372999999999998</v>
      </c>
      <c r="E5" s="49">
        <v>30.92</v>
      </c>
      <c r="F5" s="49">
        <v>29.492000000000001</v>
      </c>
      <c r="G5" s="49">
        <v>28.997</v>
      </c>
    </row>
    <row r="6" spans="2:7">
      <c r="B6" s="113"/>
      <c r="C6" s="113" t="s">
        <v>46</v>
      </c>
      <c r="D6" s="49">
        <v>55.363</v>
      </c>
      <c r="E6" s="49">
        <v>50.103999999999999</v>
      </c>
      <c r="F6" s="49">
        <v>44.713999999999999</v>
      </c>
      <c r="G6" s="49">
        <v>43.655999999999999</v>
      </c>
    </row>
    <row r="7" spans="2:7">
      <c r="B7" s="113"/>
      <c r="C7" s="113" t="s">
        <v>45</v>
      </c>
      <c r="D7" s="49"/>
      <c r="E7" s="49">
        <v>33.524999999999999</v>
      </c>
      <c r="F7" s="49">
        <v>36.261000000000003</v>
      </c>
      <c r="G7" s="49">
        <v>29.271999999999998</v>
      </c>
    </row>
    <row r="8" spans="2:7">
      <c r="B8" s="113"/>
      <c r="C8" s="113" t="s">
        <v>43</v>
      </c>
      <c r="D8" s="49">
        <v>5.0789999999999997</v>
      </c>
      <c r="E8" s="49">
        <v>5.056</v>
      </c>
      <c r="F8" s="49">
        <v>4.3689999999999998</v>
      </c>
      <c r="G8" s="49">
        <v>4.649</v>
      </c>
    </row>
    <row r="9" spans="2:7">
      <c r="B9" s="113"/>
      <c r="C9" s="113" t="s">
        <v>42</v>
      </c>
      <c r="D9" s="49">
        <v>82.454999999999998</v>
      </c>
      <c r="E9" s="49">
        <v>75.584000000000003</v>
      </c>
      <c r="F9" s="49">
        <v>66.631</v>
      </c>
      <c r="G9" s="49">
        <v>67.52</v>
      </c>
    </row>
    <row r="10" spans="2:7">
      <c r="B10" s="113"/>
      <c r="C10" s="113" t="s">
        <v>41</v>
      </c>
      <c r="D10" s="49">
        <v>475.05200000000002</v>
      </c>
      <c r="E10" s="49">
        <v>454.86500000000001</v>
      </c>
      <c r="F10" s="49">
        <v>455.65899999999999</v>
      </c>
      <c r="G10" s="49">
        <v>448.92599999999999</v>
      </c>
    </row>
    <row r="11" spans="2:7">
      <c r="B11" s="113"/>
      <c r="C11" s="113" t="s">
        <v>40</v>
      </c>
      <c r="D11" s="49">
        <v>26.475999999999999</v>
      </c>
      <c r="E11" s="49">
        <v>25.265999999999998</v>
      </c>
      <c r="F11" s="49">
        <v>15.795999999999999</v>
      </c>
      <c r="G11" s="49">
        <v>17.219000000000001</v>
      </c>
    </row>
    <row r="12" spans="2:7">
      <c r="B12" s="113"/>
      <c r="C12" s="113" t="s">
        <v>39</v>
      </c>
      <c r="D12" s="49">
        <v>12.622</v>
      </c>
      <c r="E12" s="49">
        <v>14.513999999999999</v>
      </c>
      <c r="F12" s="49">
        <v>11.895</v>
      </c>
      <c r="G12" s="49">
        <v>13.448</v>
      </c>
    </row>
    <row r="13" spans="2:7">
      <c r="B13" s="113"/>
      <c r="C13" s="113" t="s">
        <v>38</v>
      </c>
      <c r="D13" s="49">
        <v>71.268000000000001</v>
      </c>
      <c r="E13" s="49">
        <v>59.94</v>
      </c>
      <c r="F13" s="49">
        <v>49.875999999999998</v>
      </c>
      <c r="G13" s="49">
        <v>46.3</v>
      </c>
    </row>
    <row r="14" spans="2:7">
      <c r="B14" s="113"/>
      <c r="C14" s="113" t="s">
        <v>37</v>
      </c>
      <c r="D14" s="49">
        <v>183.62700000000001</v>
      </c>
      <c r="E14" s="49">
        <v>121.483</v>
      </c>
      <c r="F14" s="49">
        <v>137.27000000000001</v>
      </c>
      <c r="G14" s="49">
        <v>123.54900000000001</v>
      </c>
    </row>
    <row r="15" spans="2:7">
      <c r="B15" s="113"/>
      <c r="C15" s="113" t="s">
        <v>36</v>
      </c>
      <c r="D15" s="49">
        <v>33.1</v>
      </c>
      <c r="E15" s="49">
        <v>41.298000000000002</v>
      </c>
      <c r="F15" s="49">
        <v>25.486999999999998</v>
      </c>
      <c r="G15" s="49">
        <v>27.241</v>
      </c>
    </row>
    <row r="16" spans="2:7">
      <c r="B16" s="113"/>
      <c r="C16" s="113" t="s">
        <v>35</v>
      </c>
      <c r="D16" s="49">
        <v>131.26400000000001</v>
      </c>
      <c r="E16" s="49">
        <v>115.54300000000001</v>
      </c>
      <c r="F16" s="49">
        <v>99.564999999999998</v>
      </c>
      <c r="G16" s="49">
        <v>96.632000000000005</v>
      </c>
    </row>
    <row r="17" spans="2:7">
      <c r="B17" s="113"/>
      <c r="C17" s="113" t="s">
        <v>34</v>
      </c>
      <c r="D17" s="49"/>
      <c r="E17" s="49"/>
      <c r="F17" s="49">
        <v>8.3859999999999992</v>
      </c>
      <c r="G17" s="49">
        <v>8.2349999999999994</v>
      </c>
    </row>
    <row r="18" spans="2:7">
      <c r="B18" s="113"/>
      <c r="C18" s="113" t="s">
        <v>33</v>
      </c>
      <c r="D18" s="49">
        <v>26.161999999999999</v>
      </c>
      <c r="E18" s="49">
        <v>22.992000000000001</v>
      </c>
      <c r="F18" s="49">
        <v>19.649999999999999</v>
      </c>
      <c r="G18" s="49">
        <v>19.218</v>
      </c>
    </row>
    <row r="19" spans="2:7">
      <c r="B19" s="113"/>
      <c r="C19" s="113" t="s">
        <v>32</v>
      </c>
      <c r="D19" s="49">
        <v>22.440999999999999</v>
      </c>
      <c r="E19" s="49">
        <v>17.373000000000001</v>
      </c>
      <c r="F19" s="49">
        <v>16.829999999999998</v>
      </c>
      <c r="G19" s="49">
        <v>17.734000000000002</v>
      </c>
    </row>
    <row r="20" spans="2:7">
      <c r="B20" s="113"/>
      <c r="C20" s="113" t="s">
        <v>31</v>
      </c>
      <c r="D20" s="49"/>
      <c r="E20" s="49"/>
      <c r="F20" s="49">
        <v>1.8120000000000001</v>
      </c>
      <c r="G20" s="49">
        <v>1.7809999999999999</v>
      </c>
    </row>
    <row r="21" spans="2:7">
      <c r="B21" s="113"/>
      <c r="C21" s="113" t="s">
        <v>30</v>
      </c>
      <c r="D21" s="49">
        <v>225.989</v>
      </c>
      <c r="E21" s="49">
        <v>191.49</v>
      </c>
      <c r="F21" s="49">
        <v>156.21299999999999</v>
      </c>
      <c r="G21" s="49">
        <v>154.965</v>
      </c>
    </row>
    <row r="22" spans="2:7">
      <c r="B22" s="113"/>
      <c r="C22" s="113" t="s">
        <v>28</v>
      </c>
      <c r="D22" s="49">
        <v>6.6040000000000001</v>
      </c>
      <c r="E22" s="49">
        <v>6.3940000000000001</v>
      </c>
      <c r="F22" s="49">
        <v>6.8449999999999998</v>
      </c>
      <c r="G22" s="49">
        <v>6.13</v>
      </c>
    </row>
    <row r="23" spans="2:7">
      <c r="B23" s="113"/>
      <c r="C23" s="113" t="s">
        <v>27</v>
      </c>
      <c r="D23" s="49">
        <v>2.6030000000000002</v>
      </c>
      <c r="E23" s="49">
        <v>2.2530000000000001</v>
      </c>
      <c r="F23" s="49">
        <v>1.661</v>
      </c>
      <c r="G23" s="49">
        <v>1.5029999999999999</v>
      </c>
    </row>
    <row r="24" spans="2:7">
      <c r="B24" s="113"/>
      <c r="C24" s="113" t="s">
        <v>26</v>
      </c>
      <c r="D24" s="49">
        <v>2.8540000000000001</v>
      </c>
      <c r="E24" s="49">
        <v>3.24</v>
      </c>
      <c r="F24" s="49">
        <v>2.3130000000000002</v>
      </c>
      <c r="G24" s="49">
        <v>2.1970000000000001</v>
      </c>
    </row>
    <row r="25" spans="2:7">
      <c r="B25" s="113"/>
      <c r="C25" s="113" t="s">
        <v>23</v>
      </c>
      <c r="D25" s="49">
        <v>1.9710000000000001</v>
      </c>
      <c r="E25" s="49">
        <v>1.8779999999999999</v>
      </c>
      <c r="F25" s="49">
        <v>0.89</v>
      </c>
      <c r="G25" s="49">
        <v>0.57999999999999996</v>
      </c>
    </row>
    <row r="26" spans="2:7">
      <c r="B26" s="113"/>
      <c r="C26" s="113" t="s">
        <v>22</v>
      </c>
      <c r="D26" s="49">
        <v>80.350999999999999</v>
      </c>
      <c r="E26" s="49">
        <v>84.736000000000004</v>
      </c>
      <c r="F26" s="49">
        <v>94.094999999999999</v>
      </c>
      <c r="G26" s="49">
        <v>93.86</v>
      </c>
    </row>
    <row r="27" spans="2:7">
      <c r="B27" s="113"/>
      <c r="C27" s="113" t="s">
        <v>21</v>
      </c>
      <c r="D27" s="49"/>
      <c r="E27" s="49">
        <v>19.274000000000001</v>
      </c>
      <c r="F27" s="49">
        <v>25.652999999999999</v>
      </c>
      <c r="G27" s="49">
        <v>25.146000000000001</v>
      </c>
    </row>
    <row r="28" spans="2:7">
      <c r="B28" s="113"/>
      <c r="C28" s="113" t="s">
        <v>20</v>
      </c>
      <c r="D28" s="49">
        <v>203.15</v>
      </c>
      <c r="E28" s="49">
        <v>199.727</v>
      </c>
      <c r="F28" s="49">
        <v>198.696</v>
      </c>
      <c r="G28" s="49">
        <v>194.98099999999999</v>
      </c>
    </row>
    <row r="29" spans="2:7">
      <c r="B29" s="113"/>
      <c r="C29" s="113" t="s">
        <v>19</v>
      </c>
      <c r="D29" s="49">
        <v>36.426000000000002</v>
      </c>
      <c r="E29" s="49">
        <v>24.167000000000002</v>
      </c>
      <c r="F29" s="49">
        <v>27.936</v>
      </c>
      <c r="G29" s="49">
        <v>25.712</v>
      </c>
    </row>
    <row r="30" spans="2:7">
      <c r="B30" s="113"/>
      <c r="C30" s="113" t="s">
        <v>18</v>
      </c>
      <c r="D30" s="49"/>
      <c r="E30" s="49">
        <v>47.344000000000001</v>
      </c>
      <c r="F30" s="49">
        <v>42.396000000000001</v>
      </c>
      <c r="G30" s="49">
        <v>39.777999999999999</v>
      </c>
    </row>
    <row r="31" spans="2:7">
      <c r="B31" s="113"/>
      <c r="C31" s="113" t="s">
        <v>16</v>
      </c>
      <c r="D31" s="49">
        <v>19.382000000000001</v>
      </c>
      <c r="E31" s="49">
        <v>22.661000000000001</v>
      </c>
      <c r="F31" s="49">
        <v>19.236000000000001</v>
      </c>
      <c r="G31" s="49">
        <v>19.399000000000001</v>
      </c>
    </row>
    <row r="32" spans="2:7">
      <c r="B32" s="113"/>
      <c r="C32" s="113" t="s">
        <v>15</v>
      </c>
      <c r="D32" s="49">
        <v>8.7210000000000001</v>
      </c>
      <c r="E32" s="49">
        <v>8.1300000000000008</v>
      </c>
      <c r="F32" s="49">
        <v>6.11</v>
      </c>
      <c r="G32" s="49">
        <v>6.4790000000000001</v>
      </c>
    </row>
    <row r="33" spans="2:7">
      <c r="B33" s="113"/>
      <c r="C33" s="113" t="s">
        <v>14</v>
      </c>
      <c r="D33" s="49">
        <v>25.231999999999999</v>
      </c>
      <c r="E33" s="49">
        <v>21.699000000000002</v>
      </c>
      <c r="F33" s="49">
        <v>21.181000000000001</v>
      </c>
      <c r="G33" s="49">
        <v>21.263999999999999</v>
      </c>
    </row>
    <row r="34" spans="2:7">
      <c r="B34" s="113"/>
      <c r="C34" s="113" t="s">
        <v>13</v>
      </c>
      <c r="D34" s="49">
        <v>242.51300000000001</v>
      </c>
      <c r="E34" s="49">
        <v>237.34399999999999</v>
      </c>
      <c r="F34" s="49">
        <v>175.89</v>
      </c>
      <c r="G34" s="49">
        <v>147.36799999999999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N20" sqref="N20"/>
    </sheetView>
  </sheetViews>
  <sheetFormatPr defaultRowHeight="15"/>
  <cols>
    <col min="1" max="1" width="17.7109375" customWidth="1"/>
    <col min="2" max="11" width="10.7109375" customWidth="1"/>
  </cols>
  <sheetData>
    <row r="3" spans="1:9">
      <c r="A3" s="90" t="s">
        <v>348</v>
      </c>
      <c r="B3" s="90" t="s">
        <v>290</v>
      </c>
      <c r="C3" s="98"/>
      <c r="D3" s="98"/>
      <c r="E3" s="98"/>
      <c r="F3" s="98"/>
      <c r="G3" s="98"/>
      <c r="H3" s="98"/>
      <c r="I3" s="86"/>
    </row>
    <row r="4" spans="1:9">
      <c r="A4" s="90" t="s">
        <v>3</v>
      </c>
      <c r="B4" s="96" t="s">
        <v>300</v>
      </c>
      <c r="C4" s="94" t="s">
        <v>343</v>
      </c>
      <c r="D4" s="94" t="s">
        <v>305</v>
      </c>
      <c r="E4" s="94" t="s">
        <v>340</v>
      </c>
      <c r="F4" s="94" t="s">
        <v>341</v>
      </c>
      <c r="G4" s="94" t="s">
        <v>342</v>
      </c>
      <c r="H4" s="94" t="s">
        <v>344</v>
      </c>
      <c r="I4" s="89" t="s">
        <v>266</v>
      </c>
    </row>
    <row r="5" spans="1:9">
      <c r="A5" s="96" t="s">
        <v>95</v>
      </c>
      <c r="B5" s="125">
        <v>552.64691075000007</v>
      </c>
      <c r="C5" s="126">
        <v>73.273403000000002</v>
      </c>
      <c r="D5" s="126">
        <v>298.04084388000001</v>
      </c>
      <c r="E5" s="126">
        <v>0.15596545000000001</v>
      </c>
      <c r="F5" s="126">
        <v>7.3529506199999997</v>
      </c>
      <c r="G5" s="126">
        <v>7.9197403499999997</v>
      </c>
      <c r="H5" s="126">
        <v>0.95245816000000005</v>
      </c>
      <c r="I5" s="133">
        <v>940.34227221000015</v>
      </c>
    </row>
    <row r="6" spans="1:9">
      <c r="A6" s="97" t="s">
        <v>101</v>
      </c>
      <c r="B6" s="127">
        <v>497.58590299999992</v>
      </c>
      <c r="C6" s="49">
        <v>102.22261338999999</v>
      </c>
      <c r="D6" s="49">
        <v>252.57928104000004</v>
      </c>
      <c r="E6" s="49">
        <v>0.11944619000000001</v>
      </c>
      <c r="F6" s="49">
        <v>3.8780834500000001</v>
      </c>
      <c r="G6" s="49">
        <v>6.43149032</v>
      </c>
      <c r="H6" s="49">
        <v>0.48929306</v>
      </c>
      <c r="I6" s="134">
        <v>863.30611044999989</v>
      </c>
    </row>
    <row r="7" spans="1:9">
      <c r="A7" s="97" t="s">
        <v>106</v>
      </c>
      <c r="B7" s="127">
        <v>461.05856125000003</v>
      </c>
      <c r="C7" s="49">
        <v>107.61060714999999</v>
      </c>
      <c r="D7" s="49">
        <v>249.71669602</v>
      </c>
      <c r="E7" s="49">
        <v>6.9184510000000005E-2</v>
      </c>
      <c r="F7" s="49">
        <v>3.57598079</v>
      </c>
      <c r="G7" s="49">
        <v>6.41331966</v>
      </c>
      <c r="H7" s="49">
        <v>0.24207994999999999</v>
      </c>
      <c r="I7" s="134">
        <v>828.6864293299999</v>
      </c>
    </row>
    <row r="8" spans="1:9">
      <c r="A8" s="88" t="s">
        <v>266</v>
      </c>
      <c r="B8" s="128">
        <v>1511.2913749999998</v>
      </c>
      <c r="C8" s="129">
        <v>283.10662353999999</v>
      </c>
      <c r="D8" s="129">
        <v>800.33682094000005</v>
      </c>
      <c r="E8" s="129">
        <v>0.34459614999999999</v>
      </c>
      <c r="F8" s="129">
        <v>14.807014859999999</v>
      </c>
      <c r="G8" s="129">
        <v>20.764550329999999</v>
      </c>
      <c r="H8" s="129">
        <v>1.6838311699999999</v>
      </c>
      <c r="I8" s="130">
        <v>2632.3348119900002</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9"/>
  <sheetViews>
    <sheetView topLeftCell="B1" workbookViewId="0">
      <selection activeCell="N6" sqref="N6"/>
    </sheetView>
  </sheetViews>
  <sheetFormatPr defaultRowHeight="15"/>
  <cols>
    <col min="5" max="5" width="30" bestFit="1" customWidth="1"/>
    <col min="6" max="6" width="48.42578125" bestFit="1" customWidth="1"/>
    <col min="8" max="8" width="35.28515625" bestFit="1" customWidth="1"/>
    <col min="10" max="10" width="22.28515625" bestFit="1" customWidth="1"/>
    <col min="13" max="13" width="9.5703125" bestFit="1" customWidth="1"/>
    <col min="14" max="14" width="11.5703125" bestFit="1" customWidth="1"/>
  </cols>
  <sheetData>
    <row r="1" spans="2:15">
      <c r="N1" t="s">
        <v>345</v>
      </c>
    </row>
    <row r="2" spans="2:15">
      <c r="B2" s="121" t="s">
        <v>287</v>
      </c>
      <c r="C2" s="121" t="s">
        <v>288</v>
      </c>
      <c r="D2" s="121" t="s">
        <v>56</v>
      </c>
      <c r="E2" s="121" t="s">
        <v>289</v>
      </c>
      <c r="F2" s="121" t="s">
        <v>290</v>
      </c>
      <c r="G2" s="121" t="s">
        <v>3</v>
      </c>
      <c r="H2" s="121" t="s">
        <v>291</v>
      </c>
      <c r="I2" s="121" t="s">
        <v>292</v>
      </c>
      <c r="J2" s="121" t="s">
        <v>293</v>
      </c>
      <c r="K2" s="121" t="s">
        <v>294</v>
      </c>
      <c r="L2" s="121" t="s">
        <v>295</v>
      </c>
      <c r="M2" s="121" t="s">
        <v>296</v>
      </c>
      <c r="N2" s="121" t="s">
        <v>296</v>
      </c>
      <c r="O2" s="124" t="s">
        <v>346</v>
      </c>
    </row>
    <row r="3" spans="2:15">
      <c r="B3" s="122" t="s">
        <v>298</v>
      </c>
      <c r="C3" s="122" t="s">
        <v>308</v>
      </c>
      <c r="D3" s="122" t="s">
        <v>309</v>
      </c>
      <c r="E3" s="122" t="s">
        <v>299</v>
      </c>
      <c r="F3" s="122" t="s">
        <v>300</v>
      </c>
      <c r="G3" s="122" t="s">
        <v>95</v>
      </c>
      <c r="H3" s="122" t="s">
        <v>337</v>
      </c>
      <c r="I3" s="122" t="s">
        <v>96</v>
      </c>
      <c r="J3" s="122" t="s">
        <v>302</v>
      </c>
      <c r="K3" s="122" t="s">
        <v>96</v>
      </c>
      <c r="L3" s="122" t="s">
        <v>304</v>
      </c>
      <c r="M3" s="123">
        <v>22105.87643</v>
      </c>
      <c r="N3" s="49">
        <f t="shared" ref="N3:N29" si="0">IF(F3="CH4",M3*25,IF(F3="N2O",M3*298,M3))/1000</f>
        <v>552.64691075000007</v>
      </c>
    </row>
    <row r="4" spans="2:15">
      <c r="B4" s="122" t="s">
        <v>298</v>
      </c>
      <c r="C4" s="122" t="s">
        <v>308</v>
      </c>
      <c r="D4" s="122" t="s">
        <v>309</v>
      </c>
      <c r="E4" s="122" t="s">
        <v>299</v>
      </c>
      <c r="F4" s="122" t="s">
        <v>305</v>
      </c>
      <c r="G4" s="122" t="s">
        <v>95</v>
      </c>
      <c r="H4" s="122" t="s">
        <v>337</v>
      </c>
      <c r="I4" s="122" t="s">
        <v>96</v>
      </c>
      <c r="J4" s="122" t="s">
        <v>302</v>
      </c>
      <c r="K4" s="122" t="s">
        <v>96</v>
      </c>
      <c r="L4" s="122" t="s">
        <v>304</v>
      </c>
      <c r="M4" s="123">
        <v>1000.13706</v>
      </c>
      <c r="N4" s="49">
        <f t="shared" si="0"/>
        <v>298.04084388000001</v>
      </c>
    </row>
    <row r="5" spans="2:15">
      <c r="B5" s="122" t="s">
        <v>298</v>
      </c>
      <c r="C5" s="122" t="s">
        <v>308</v>
      </c>
      <c r="D5" s="122" t="s">
        <v>309</v>
      </c>
      <c r="E5" s="122" t="s">
        <v>299</v>
      </c>
      <c r="F5" s="122" t="s">
        <v>320</v>
      </c>
      <c r="G5" s="122" t="s">
        <v>95</v>
      </c>
      <c r="H5" s="122" t="s">
        <v>337</v>
      </c>
      <c r="I5" s="122" t="s">
        <v>96</v>
      </c>
      <c r="J5" s="122" t="s">
        <v>302</v>
      </c>
      <c r="K5" s="122" t="s">
        <v>96</v>
      </c>
      <c r="L5" s="122" t="s">
        <v>304</v>
      </c>
      <c r="M5" s="123">
        <v>3956717.6413500002</v>
      </c>
      <c r="N5" s="49">
        <f t="shared" si="0"/>
        <v>3956.7176413500001</v>
      </c>
    </row>
    <row r="6" spans="2:15">
      <c r="B6" s="122" t="s">
        <v>298</v>
      </c>
      <c r="C6" s="122" t="s">
        <v>308</v>
      </c>
      <c r="D6" s="122" t="s">
        <v>309</v>
      </c>
      <c r="E6" s="122" t="s">
        <v>299</v>
      </c>
      <c r="F6" s="122" t="s">
        <v>338</v>
      </c>
      <c r="G6" s="122" t="s">
        <v>95</v>
      </c>
      <c r="H6" s="122" t="s">
        <v>337</v>
      </c>
      <c r="I6" s="122" t="s">
        <v>96</v>
      </c>
      <c r="J6" s="122" t="s">
        <v>302</v>
      </c>
      <c r="K6" s="122" t="s">
        <v>96</v>
      </c>
      <c r="L6" s="122" t="s">
        <v>339</v>
      </c>
      <c r="M6" s="123">
        <v>4897059.9123600004</v>
      </c>
      <c r="N6" s="49">
        <f t="shared" si="0"/>
        <v>4897.0599123600005</v>
      </c>
      <c r="O6" t="s">
        <v>347</v>
      </c>
    </row>
    <row r="7" spans="2:15">
      <c r="B7" s="122" t="s">
        <v>298</v>
      </c>
      <c r="C7" s="122" t="s">
        <v>308</v>
      </c>
      <c r="D7" s="122" t="s">
        <v>309</v>
      </c>
      <c r="E7" s="122" t="s">
        <v>299</v>
      </c>
      <c r="F7" s="122" t="s">
        <v>340</v>
      </c>
      <c r="G7" s="122" t="s">
        <v>95</v>
      </c>
      <c r="H7" s="122" t="s">
        <v>337</v>
      </c>
      <c r="I7" s="122" t="s">
        <v>96</v>
      </c>
      <c r="J7" s="122" t="s">
        <v>302</v>
      </c>
      <c r="K7" s="122" t="s">
        <v>96</v>
      </c>
      <c r="L7" s="122" t="s">
        <v>339</v>
      </c>
      <c r="M7" s="123">
        <v>155.96545</v>
      </c>
      <c r="N7" s="49">
        <f t="shared" si="0"/>
        <v>0.15596545000000001</v>
      </c>
    </row>
    <row r="8" spans="2:15">
      <c r="B8" s="122" t="s">
        <v>298</v>
      </c>
      <c r="C8" s="122" t="s">
        <v>308</v>
      </c>
      <c r="D8" s="122" t="s">
        <v>309</v>
      </c>
      <c r="E8" s="122" t="s">
        <v>299</v>
      </c>
      <c r="F8" s="122" t="s">
        <v>341</v>
      </c>
      <c r="G8" s="122" t="s">
        <v>95</v>
      </c>
      <c r="H8" s="122" t="s">
        <v>337</v>
      </c>
      <c r="I8" s="122" t="s">
        <v>96</v>
      </c>
      <c r="J8" s="122" t="s">
        <v>302</v>
      </c>
      <c r="K8" s="122" t="s">
        <v>96</v>
      </c>
      <c r="L8" s="122" t="s">
        <v>339</v>
      </c>
      <c r="M8" s="123">
        <v>7352.9506199999996</v>
      </c>
      <c r="N8" s="49">
        <f t="shared" si="0"/>
        <v>7.3529506199999997</v>
      </c>
    </row>
    <row r="9" spans="2:15">
      <c r="B9" s="122" t="s">
        <v>298</v>
      </c>
      <c r="C9" s="122" t="s">
        <v>308</v>
      </c>
      <c r="D9" s="122" t="s">
        <v>309</v>
      </c>
      <c r="E9" s="122" t="s">
        <v>299</v>
      </c>
      <c r="F9" s="122" t="s">
        <v>343</v>
      </c>
      <c r="G9" s="122" t="s">
        <v>95</v>
      </c>
      <c r="H9" s="122" t="s">
        <v>337</v>
      </c>
      <c r="I9" s="122" t="s">
        <v>96</v>
      </c>
      <c r="J9" s="122" t="s">
        <v>302</v>
      </c>
      <c r="K9" s="122" t="s">
        <v>96</v>
      </c>
      <c r="L9" s="122" t="s">
        <v>339</v>
      </c>
      <c r="M9" s="123">
        <v>73273.403000000006</v>
      </c>
      <c r="N9" s="49">
        <f t="shared" si="0"/>
        <v>73.273403000000002</v>
      </c>
    </row>
    <row r="10" spans="2:15">
      <c r="B10" s="122" t="s">
        <v>298</v>
      </c>
      <c r="C10" s="122" t="s">
        <v>308</v>
      </c>
      <c r="D10" s="122" t="s">
        <v>309</v>
      </c>
      <c r="E10" s="122" t="s">
        <v>299</v>
      </c>
      <c r="F10" s="122" t="s">
        <v>342</v>
      </c>
      <c r="G10" s="122" t="s">
        <v>95</v>
      </c>
      <c r="H10" s="122" t="s">
        <v>337</v>
      </c>
      <c r="I10" s="122" t="s">
        <v>96</v>
      </c>
      <c r="J10" s="122" t="s">
        <v>302</v>
      </c>
      <c r="K10" s="122" t="s">
        <v>96</v>
      </c>
      <c r="L10" s="122" t="s">
        <v>339</v>
      </c>
      <c r="M10" s="123">
        <v>7919.74035</v>
      </c>
      <c r="N10" s="49">
        <f t="shared" si="0"/>
        <v>7.9197403499999997</v>
      </c>
    </row>
    <row r="11" spans="2:15">
      <c r="B11" s="122" t="s">
        <v>298</v>
      </c>
      <c r="C11" s="122" t="s">
        <v>308</v>
      </c>
      <c r="D11" s="122" t="s">
        <v>309</v>
      </c>
      <c r="E11" s="122" t="s">
        <v>299</v>
      </c>
      <c r="F11" s="122" t="s">
        <v>344</v>
      </c>
      <c r="G11" s="122" t="s">
        <v>95</v>
      </c>
      <c r="H11" s="122" t="s">
        <v>337</v>
      </c>
      <c r="I11" s="122" t="s">
        <v>96</v>
      </c>
      <c r="J11" s="122" t="s">
        <v>302</v>
      </c>
      <c r="K11" s="122" t="s">
        <v>96</v>
      </c>
      <c r="L11" s="122" t="s">
        <v>339</v>
      </c>
      <c r="M11" s="123">
        <v>952.45816000000002</v>
      </c>
      <c r="N11" s="49">
        <f t="shared" si="0"/>
        <v>0.95245816000000005</v>
      </c>
    </row>
    <row r="12" spans="2:15">
      <c r="B12" s="122" t="s">
        <v>298</v>
      </c>
      <c r="C12" s="122" t="s">
        <v>308</v>
      </c>
      <c r="D12" s="122" t="s">
        <v>309</v>
      </c>
      <c r="E12" s="122" t="s">
        <v>299</v>
      </c>
      <c r="F12" s="122" t="s">
        <v>320</v>
      </c>
      <c r="G12" s="122" t="s">
        <v>101</v>
      </c>
      <c r="H12" s="122" t="s">
        <v>337</v>
      </c>
      <c r="I12" s="122" t="s">
        <v>96</v>
      </c>
      <c r="J12" s="122" t="s">
        <v>302</v>
      </c>
      <c r="K12" s="122" t="s">
        <v>96</v>
      </c>
      <c r="L12" s="122" t="s">
        <v>304</v>
      </c>
      <c r="M12" s="123">
        <v>3593677.3311200002</v>
      </c>
      <c r="N12" s="49">
        <f t="shared" si="0"/>
        <v>3593.6773311200004</v>
      </c>
    </row>
    <row r="13" spans="2:15">
      <c r="B13" s="122" t="s">
        <v>298</v>
      </c>
      <c r="C13" s="122" t="s">
        <v>308</v>
      </c>
      <c r="D13" s="122" t="s">
        <v>309</v>
      </c>
      <c r="E13" s="122" t="s">
        <v>299</v>
      </c>
      <c r="F13" s="122" t="s">
        <v>305</v>
      </c>
      <c r="G13" s="122" t="s">
        <v>101</v>
      </c>
      <c r="H13" s="122" t="s">
        <v>337</v>
      </c>
      <c r="I13" s="122" t="s">
        <v>96</v>
      </c>
      <c r="J13" s="122" t="s">
        <v>302</v>
      </c>
      <c r="K13" s="122" t="s">
        <v>96</v>
      </c>
      <c r="L13" s="122" t="s">
        <v>304</v>
      </c>
      <c r="M13" s="123">
        <v>847.58148000000006</v>
      </c>
      <c r="N13" s="49">
        <f t="shared" si="0"/>
        <v>252.57928104000004</v>
      </c>
    </row>
    <row r="14" spans="2:15">
      <c r="B14" s="122" t="s">
        <v>298</v>
      </c>
      <c r="C14" s="122" t="s">
        <v>308</v>
      </c>
      <c r="D14" s="122" t="s">
        <v>309</v>
      </c>
      <c r="E14" s="122" t="s">
        <v>299</v>
      </c>
      <c r="F14" s="122" t="s">
        <v>300</v>
      </c>
      <c r="G14" s="122" t="s">
        <v>101</v>
      </c>
      <c r="H14" s="122" t="s">
        <v>337</v>
      </c>
      <c r="I14" s="122" t="s">
        <v>96</v>
      </c>
      <c r="J14" s="122" t="s">
        <v>302</v>
      </c>
      <c r="K14" s="122" t="s">
        <v>96</v>
      </c>
      <c r="L14" s="122" t="s">
        <v>304</v>
      </c>
      <c r="M14" s="123">
        <v>19903.436119999998</v>
      </c>
      <c r="N14" s="49">
        <f t="shared" si="0"/>
        <v>497.58590299999992</v>
      </c>
    </row>
    <row r="15" spans="2:15">
      <c r="B15" s="122" t="s">
        <v>298</v>
      </c>
      <c r="C15" s="122" t="s">
        <v>308</v>
      </c>
      <c r="D15" s="122" t="s">
        <v>309</v>
      </c>
      <c r="E15" s="122" t="s">
        <v>299</v>
      </c>
      <c r="F15" s="122" t="s">
        <v>344</v>
      </c>
      <c r="G15" s="122" t="s">
        <v>101</v>
      </c>
      <c r="H15" s="122" t="s">
        <v>337</v>
      </c>
      <c r="I15" s="122" t="s">
        <v>96</v>
      </c>
      <c r="J15" s="122" t="s">
        <v>302</v>
      </c>
      <c r="K15" s="122" t="s">
        <v>96</v>
      </c>
      <c r="L15" s="122" t="s">
        <v>339</v>
      </c>
      <c r="M15" s="123">
        <v>489.29306000000003</v>
      </c>
      <c r="N15" s="49">
        <f t="shared" si="0"/>
        <v>0.48929306</v>
      </c>
    </row>
    <row r="16" spans="2:15">
      <c r="B16" s="122" t="s">
        <v>298</v>
      </c>
      <c r="C16" s="122" t="s">
        <v>308</v>
      </c>
      <c r="D16" s="122" t="s">
        <v>309</v>
      </c>
      <c r="E16" s="122" t="s">
        <v>299</v>
      </c>
      <c r="F16" s="122" t="s">
        <v>343</v>
      </c>
      <c r="G16" s="122" t="s">
        <v>101</v>
      </c>
      <c r="H16" s="122" t="s">
        <v>337</v>
      </c>
      <c r="I16" s="122" t="s">
        <v>96</v>
      </c>
      <c r="J16" s="122" t="s">
        <v>302</v>
      </c>
      <c r="K16" s="122" t="s">
        <v>96</v>
      </c>
      <c r="L16" s="122" t="s">
        <v>339</v>
      </c>
      <c r="M16" s="123">
        <v>102222.61339</v>
      </c>
      <c r="N16" s="49">
        <f t="shared" si="0"/>
        <v>102.22261338999999</v>
      </c>
    </row>
    <row r="17" spans="2:14">
      <c r="B17" s="122" t="s">
        <v>298</v>
      </c>
      <c r="C17" s="122" t="s">
        <v>308</v>
      </c>
      <c r="D17" s="122" t="s">
        <v>309</v>
      </c>
      <c r="E17" s="122" t="s">
        <v>299</v>
      </c>
      <c r="F17" s="122" t="s">
        <v>340</v>
      </c>
      <c r="G17" s="122" t="s">
        <v>101</v>
      </c>
      <c r="H17" s="122" t="s">
        <v>337</v>
      </c>
      <c r="I17" s="122" t="s">
        <v>96</v>
      </c>
      <c r="J17" s="122" t="s">
        <v>302</v>
      </c>
      <c r="K17" s="122" t="s">
        <v>96</v>
      </c>
      <c r="L17" s="122" t="s">
        <v>339</v>
      </c>
      <c r="M17" s="123">
        <v>119.44619</v>
      </c>
      <c r="N17" s="49">
        <f t="shared" si="0"/>
        <v>0.11944619000000001</v>
      </c>
    </row>
    <row r="18" spans="2:14">
      <c r="B18" s="122" t="s">
        <v>298</v>
      </c>
      <c r="C18" s="122" t="s">
        <v>308</v>
      </c>
      <c r="D18" s="122" t="s">
        <v>309</v>
      </c>
      <c r="E18" s="122" t="s">
        <v>299</v>
      </c>
      <c r="F18" s="122" t="s">
        <v>338</v>
      </c>
      <c r="G18" s="122" t="s">
        <v>101</v>
      </c>
      <c r="H18" s="122" t="s">
        <v>337</v>
      </c>
      <c r="I18" s="122" t="s">
        <v>96</v>
      </c>
      <c r="J18" s="122" t="s">
        <v>302</v>
      </c>
      <c r="K18" s="122" t="s">
        <v>96</v>
      </c>
      <c r="L18" s="122" t="s">
        <v>339</v>
      </c>
      <c r="M18" s="123">
        <v>4456983.4403999997</v>
      </c>
      <c r="N18" s="49">
        <f t="shared" si="0"/>
        <v>4456.9834403999994</v>
      </c>
    </row>
    <row r="19" spans="2:14">
      <c r="B19" s="122" t="s">
        <v>298</v>
      </c>
      <c r="C19" s="122" t="s">
        <v>308</v>
      </c>
      <c r="D19" s="122" t="s">
        <v>309</v>
      </c>
      <c r="E19" s="122" t="s">
        <v>299</v>
      </c>
      <c r="F19" s="122" t="s">
        <v>341</v>
      </c>
      <c r="G19" s="122" t="s">
        <v>101</v>
      </c>
      <c r="H19" s="122" t="s">
        <v>337</v>
      </c>
      <c r="I19" s="122" t="s">
        <v>96</v>
      </c>
      <c r="J19" s="122" t="s">
        <v>302</v>
      </c>
      <c r="K19" s="122" t="s">
        <v>96</v>
      </c>
      <c r="L19" s="122" t="s">
        <v>339</v>
      </c>
      <c r="M19" s="123">
        <v>3878.0834500000001</v>
      </c>
      <c r="N19" s="49">
        <f t="shared" si="0"/>
        <v>3.8780834500000001</v>
      </c>
    </row>
    <row r="20" spans="2:14">
      <c r="B20" s="122" t="s">
        <v>298</v>
      </c>
      <c r="C20" s="122" t="s">
        <v>308</v>
      </c>
      <c r="D20" s="122" t="s">
        <v>309</v>
      </c>
      <c r="E20" s="122" t="s">
        <v>299</v>
      </c>
      <c r="F20" s="122" t="s">
        <v>342</v>
      </c>
      <c r="G20" s="122" t="s">
        <v>101</v>
      </c>
      <c r="H20" s="122" t="s">
        <v>337</v>
      </c>
      <c r="I20" s="122" t="s">
        <v>96</v>
      </c>
      <c r="J20" s="122" t="s">
        <v>302</v>
      </c>
      <c r="K20" s="122" t="s">
        <v>96</v>
      </c>
      <c r="L20" s="122" t="s">
        <v>339</v>
      </c>
      <c r="M20" s="123">
        <v>6431.4903199999999</v>
      </c>
      <c r="N20" s="49">
        <f t="shared" si="0"/>
        <v>6.43149032</v>
      </c>
    </row>
    <row r="21" spans="2:14">
      <c r="B21" s="122" t="s">
        <v>298</v>
      </c>
      <c r="C21" s="122" t="s">
        <v>308</v>
      </c>
      <c r="D21" s="122" t="s">
        <v>309</v>
      </c>
      <c r="E21" s="122" t="s">
        <v>299</v>
      </c>
      <c r="F21" s="122" t="s">
        <v>300</v>
      </c>
      <c r="G21" s="122" t="s">
        <v>106</v>
      </c>
      <c r="H21" s="122" t="s">
        <v>337</v>
      </c>
      <c r="I21" s="122" t="s">
        <v>96</v>
      </c>
      <c r="J21" s="122" t="s">
        <v>302</v>
      </c>
      <c r="K21" s="122" t="s">
        <v>96</v>
      </c>
      <c r="L21" s="122" t="s">
        <v>304</v>
      </c>
      <c r="M21" s="123">
        <v>18442.34245</v>
      </c>
      <c r="N21" s="49">
        <f t="shared" si="0"/>
        <v>461.05856125000003</v>
      </c>
    </row>
    <row r="22" spans="2:14">
      <c r="B22" s="122" t="s">
        <v>298</v>
      </c>
      <c r="C22" s="122" t="s">
        <v>308</v>
      </c>
      <c r="D22" s="122" t="s">
        <v>309</v>
      </c>
      <c r="E22" s="122" t="s">
        <v>299</v>
      </c>
      <c r="F22" s="122" t="s">
        <v>320</v>
      </c>
      <c r="G22" s="122" t="s">
        <v>106</v>
      </c>
      <c r="H22" s="122" t="s">
        <v>337</v>
      </c>
      <c r="I22" s="122" t="s">
        <v>96</v>
      </c>
      <c r="J22" s="122" t="s">
        <v>302</v>
      </c>
      <c r="K22" s="122" t="s">
        <v>96</v>
      </c>
      <c r="L22" s="122" t="s">
        <v>304</v>
      </c>
      <c r="M22" s="123">
        <v>3176088.9476899998</v>
      </c>
      <c r="N22" s="49">
        <f t="shared" si="0"/>
        <v>3176.0889476899997</v>
      </c>
    </row>
    <row r="23" spans="2:14">
      <c r="B23" s="122" t="s">
        <v>298</v>
      </c>
      <c r="C23" s="122" t="s">
        <v>308</v>
      </c>
      <c r="D23" s="122" t="s">
        <v>309</v>
      </c>
      <c r="E23" s="122" t="s">
        <v>299</v>
      </c>
      <c r="F23" s="122" t="s">
        <v>305</v>
      </c>
      <c r="G23" s="122" t="s">
        <v>106</v>
      </c>
      <c r="H23" s="122" t="s">
        <v>337</v>
      </c>
      <c r="I23" s="122" t="s">
        <v>96</v>
      </c>
      <c r="J23" s="122" t="s">
        <v>302</v>
      </c>
      <c r="K23" s="122" t="s">
        <v>96</v>
      </c>
      <c r="L23" s="122" t="s">
        <v>304</v>
      </c>
      <c r="M23" s="123">
        <v>837.97549000000004</v>
      </c>
      <c r="N23" s="49">
        <f t="shared" si="0"/>
        <v>249.71669602</v>
      </c>
    </row>
    <row r="24" spans="2:14">
      <c r="B24" s="122" t="s">
        <v>298</v>
      </c>
      <c r="C24" s="122" t="s">
        <v>308</v>
      </c>
      <c r="D24" s="122" t="s">
        <v>309</v>
      </c>
      <c r="E24" s="122" t="s">
        <v>299</v>
      </c>
      <c r="F24" s="122" t="s">
        <v>338</v>
      </c>
      <c r="G24" s="122" t="s">
        <v>106</v>
      </c>
      <c r="H24" s="122" t="s">
        <v>337</v>
      </c>
      <c r="I24" s="122" t="s">
        <v>96</v>
      </c>
      <c r="J24" s="122" t="s">
        <v>302</v>
      </c>
      <c r="K24" s="122" t="s">
        <v>96</v>
      </c>
      <c r="L24" s="122" t="s">
        <v>339</v>
      </c>
      <c r="M24" s="123">
        <v>4004775.3761300002</v>
      </c>
      <c r="N24" s="49">
        <f t="shared" si="0"/>
        <v>4004.77537613</v>
      </c>
    </row>
    <row r="25" spans="2:14">
      <c r="B25" s="122" t="s">
        <v>298</v>
      </c>
      <c r="C25" s="122" t="s">
        <v>308</v>
      </c>
      <c r="D25" s="122" t="s">
        <v>309</v>
      </c>
      <c r="E25" s="122" t="s">
        <v>299</v>
      </c>
      <c r="F25" s="122" t="s">
        <v>342</v>
      </c>
      <c r="G25" s="122" t="s">
        <v>106</v>
      </c>
      <c r="H25" s="122" t="s">
        <v>337</v>
      </c>
      <c r="I25" s="122" t="s">
        <v>96</v>
      </c>
      <c r="J25" s="122" t="s">
        <v>302</v>
      </c>
      <c r="K25" s="122" t="s">
        <v>96</v>
      </c>
      <c r="L25" s="122" t="s">
        <v>339</v>
      </c>
      <c r="M25" s="123">
        <v>6413.3196600000001</v>
      </c>
      <c r="N25" s="49">
        <f t="shared" si="0"/>
        <v>6.41331966</v>
      </c>
    </row>
    <row r="26" spans="2:14">
      <c r="B26" s="122" t="s">
        <v>298</v>
      </c>
      <c r="C26" s="122" t="s">
        <v>308</v>
      </c>
      <c r="D26" s="122" t="s">
        <v>309</v>
      </c>
      <c r="E26" s="122" t="s">
        <v>299</v>
      </c>
      <c r="F26" s="122" t="s">
        <v>340</v>
      </c>
      <c r="G26" s="122" t="s">
        <v>106</v>
      </c>
      <c r="H26" s="122" t="s">
        <v>337</v>
      </c>
      <c r="I26" s="122" t="s">
        <v>96</v>
      </c>
      <c r="J26" s="122" t="s">
        <v>302</v>
      </c>
      <c r="K26" s="122" t="s">
        <v>96</v>
      </c>
      <c r="L26" s="122" t="s">
        <v>339</v>
      </c>
      <c r="M26" s="123">
        <v>69.184510000000003</v>
      </c>
      <c r="N26" s="49">
        <f t="shared" si="0"/>
        <v>6.9184510000000005E-2</v>
      </c>
    </row>
    <row r="27" spans="2:14">
      <c r="B27" s="122" t="s">
        <v>298</v>
      </c>
      <c r="C27" s="122" t="s">
        <v>308</v>
      </c>
      <c r="D27" s="122" t="s">
        <v>309</v>
      </c>
      <c r="E27" s="122" t="s">
        <v>299</v>
      </c>
      <c r="F27" s="122" t="s">
        <v>343</v>
      </c>
      <c r="G27" s="122" t="s">
        <v>106</v>
      </c>
      <c r="H27" s="122" t="s">
        <v>337</v>
      </c>
      <c r="I27" s="122" t="s">
        <v>96</v>
      </c>
      <c r="J27" s="122" t="s">
        <v>302</v>
      </c>
      <c r="K27" s="122" t="s">
        <v>96</v>
      </c>
      <c r="L27" s="122" t="s">
        <v>339</v>
      </c>
      <c r="M27" s="123">
        <v>107610.60715</v>
      </c>
      <c r="N27" s="49">
        <f t="shared" si="0"/>
        <v>107.61060714999999</v>
      </c>
    </row>
    <row r="28" spans="2:14">
      <c r="B28" s="122" t="s">
        <v>298</v>
      </c>
      <c r="C28" s="122" t="s">
        <v>308</v>
      </c>
      <c r="D28" s="122" t="s">
        <v>309</v>
      </c>
      <c r="E28" s="122" t="s">
        <v>299</v>
      </c>
      <c r="F28" s="122" t="s">
        <v>341</v>
      </c>
      <c r="G28" s="122" t="s">
        <v>106</v>
      </c>
      <c r="H28" s="122" t="s">
        <v>337</v>
      </c>
      <c r="I28" s="122" t="s">
        <v>96</v>
      </c>
      <c r="J28" s="122" t="s">
        <v>302</v>
      </c>
      <c r="K28" s="122" t="s">
        <v>96</v>
      </c>
      <c r="L28" s="122" t="s">
        <v>339</v>
      </c>
      <c r="M28" s="123">
        <v>3575.9807900000001</v>
      </c>
      <c r="N28" s="49">
        <f t="shared" si="0"/>
        <v>3.57598079</v>
      </c>
    </row>
    <row r="29" spans="2:14">
      <c r="B29" s="122" t="s">
        <v>298</v>
      </c>
      <c r="C29" s="122" t="s">
        <v>308</v>
      </c>
      <c r="D29" s="122" t="s">
        <v>309</v>
      </c>
      <c r="E29" s="122" t="s">
        <v>299</v>
      </c>
      <c r="F29" s="122" t="s">
        <v>344</v>
      </c>
      <c r="G29" s="122" t="s">
        <v>106</v>
      </c>
      <c r="H29" s="122" t="s">
        <v>337</v>
      </c>
      <c r="I29" s="122" t="s">
        <v>96</v>
      </c>
      <c r="J29" s="122" t="s">
        <v>302</v>
      </c>
      <c r="K29" s="122" t="s">
        <v>96</v>
      </c>
      <c r="L29" s="122" t="s">
        <v>339</v>
      </c>
      <c r="M29" s="123">
        <v>242.07995</v>
      </c>
      <c r="N29" s="49">
        <f t="shared" si="0"/>
        <v>0.24207994999999999</v>
      </c>
    </row>
  </sheetData>
  <autoFilter ref="B2:O29">
    <sortState xmlns:xlrd2="http://schemas.microsoft.com/office/spreadsheetml/2017/richdata2" ref="B3:O29">
      <sortCondition ref="G2:G29"/>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I35" sqref="I35"/>
    </sheetView>
  </sheetViews>
  <sheetFormatPr defaultRowHeight="15"/>
  <cols>
    <col min="1" max="1" width="28" bestFit="1" customWidth="1"/>
    <col min="2" max="4" width="7.140625" customWidth="1"/>
    <col min="5" max="5" width="11.140625" customWidth="1"/>
    <col min="6" max="6" width="23.5703125" customWidth="1"/>
    <col min="7" max="7" width="23.5703125" bestFit="1" customWidth="1"/>
    <col min="8" max="8" width="21.7109375" customWidth="1"/>
    <col min="9" max="9" width="28.5703125" bestFit="1" customWidth="1"/>
    <col min="10" max="10" width="10" bestFit="1" customWidth="1"/>
    <col min="11" max="11" width="12" bestFit="1" customWidth="1"/>
  </cols>
  <sheetData>
    <row r="1" spans="1:5">
      <c r="A1" s="90" t="s">
        <v>409</v>
      </c>
      <c r="B1" s="90" t="s">
        <v>3</v>
      </c>
      <c r="C1" s="98"/>
      <c r="D1" s="98"/>
      <c r="E1" s="86"/>
    </row>
    <row r="2" spans="1:5">
      <c r="A2" s="90" t="s">
        <v>56</v>
      </c>
      <c r="B2" s="96" t="s">
        <v>95</v>
      </c>
      <c r="C2" s="94" t="s">
        <v>101</v>
      </c>
      <c r="D2" s="94" t="s">
        <v>106</v>
      </c>
      <c r="E2" s="89" t="s">
        <v>266</v>
      </c>
    </row>
    <row r="3" spans="1:5">
      <c r="A3" s="96" t="s">
        <v>120</v>
      </c>
      <c r="B3" s="151">
        <v>0.26355119999999999</v>
      </c>
      <c r="C3" s="152">
        <v>6.1030399999999999E-2</v>
      </c>
      <c r="D3" s="152">
        <v>4.685454E-2</v>
      </c>
      <c r="E3" s="131">
        <v>0.37143613999999997</v>
      </c>
    </row>
    <row r="4" spans="1:5">
      <c r="A4" s="97" t="s">
        <v>108</v>
      </c>
      <c r="B4" s="153">
        <v>2.9475358799999998</v>
      </c>
      <c r="C4" s="115">
        <v>1.7924908599999998</v>
      </c>
      <c r="D4" s="115">
        <v>0.37514623999999996</v>
      </c>
      <c r="E4" s="132">
        <v>5.1151729799999996</v>
      </c>
    </row>
    <row r="5" spans="1:5">
      <c r="A5" s="97" t="s">
        <v>61</v>
      </c>
      <c r="B5" s="153">
        <v>0.87848612000000004</v>
      </c>
      <c r="C5" s="115">
        <v>0.25715314</v>
      </c>
      <c r="D5" s="115">
        <v>0.125607</v>
      </c>
      <c r="E5" s="132">
        <v>1.2612462600000001</v>
      </c>
    </row>
    <row r="6" spans="1:5">
      <c r="A6" s="97" t="s">
        <v>62</v>
      </c>
      <c r="B6" s="153">
        <v>0.63674256000000007</v>
      </c>
      <c r="C6" s="115">
        <v>0.7649958</v>
      </c>
      <c r="D6" s="115">
        <v>0.31134742000000004</v>
      </c>
      <c r="E6" s="132">
        <v>1.7130857800000001</v>
      </c>
    </row>
    <row r="7" spans="1:5">
      <c r="A7" s="97" t="s">
        <v>116</v>
      </c>
      <c r="B7" s="153">
        <v>0</v>
      </c>
      <c r="C7" s="115">
        <v>0</v>
      </c>
      <c r="D7" s="115">
        <v>0</v>
      </c>
      <c r="E7" s="132">
        <v>0</v>
      </c>
    </row>
    <row r="8" spans="1:5">
      <c r="A8" s="97" t="s">
        <v>63</v>
      </c>
      <c r="B8" s="153">
        <v>0.88688971999999999</v>
      </c>
      <c r="C8" s="115">
        <v>0.32616099999999998</v>
      </c>
      <c r="D8" s="115">
        <v>0.28011999999999998</v>
      </c>
      <c r="E8" s="132">
        <v>1.49317072</v>
      </c>
    </row>
    <row r="9" spans="1:5">
      <c r="A9" s="97" t="s">
        <v>109</v>
      </c>
      <c r="B9" s="153">
        <v>0</v>
      </c>
      <c r="C9" s="115">
        <v>0</v>
      </c>
      <c r="D9" s="115">
        <v>0</v>
      </c>
      <c r="E9" s="132">
        <v>0</v>
      </c>
    </row>
    <row r="10" spans="1:5">
      <c r="A10" s="97" t="s">
        <v>64</v>
      </c>
      <c r="B10" s="153">
        <v>0</v>
      </c>
      <c r="C10" s="115">
        <v>0</v>
      </c>
      <c r="D10" s="115">
        <v>0</v>
      </c>
      <c r="E10" s="132">
        <v>0</v>
      </c>
    </row>
    <row r="11" spans="1:5">
      <c r="A11" s="97" t="s">
        <v>311</v>
      </c>
      <c r="B11" s="153">
        <v>43.465458220000002</v>
      </c>
      <c r="C11" s="115">
        <v>12.939960409999999</v>
      </c>
      <c r="D11" s="115">
        <v>4.9351816499999996</v>
      </c>
      <c r="E11" s="132">
        <v>61.340600279999997</v>
      </c>
    </row>
    <row r="12" spans="1:5">
      <c r="A12" s="97" t="s">
        <v>309</v>
      </c>
      <c r="B12" s="153">
        <v>43.434699950000002</v>
      </c>
      <c r="C12" s="115">
        <v>12.76830212</v>
      </c>
      <c r="D12" s="115">
        <v>4.8314948899999992</v>
      </c>
      <c r="E12" s="132">
        <v>61.034496960000006</v>
      </c>
    </row>
    <row r="13" spans="1:5">
      <c r="A13" s="97" t="s">
        <v>121</v>
      </c>
      <c r="B13" s="153">
        <v>1.5622888400000001</v>
      </c>
      <c r="C13" s="115">
        <v>0.16013327999999999</v>
      </c>
      <c r="D13" s="115">
        <v>0.25862824000000001</v>
      </c>
      <c r="E13" s="132">
        <v>1.98105036</v>
      </c>
    </row>
    <row r="14" spans="1:5">
      <c r="A14" s="97" t="s">
        <v>114</v>
      </c>
      <c r="B14" s="153">
        <v>4.9318127499999997</v>
      </c>
      <c r="C14" s="115">
        <v>1.19748593</v>
      </c>
      <c r="D14" s="115">
        <v>0.58493446000000004</v>
      </c>
      <c r="E14" s="132">
        <v>6.7142331400000002</v>
      </c>
    </row>
    <row r="15" spans="1:5">
      <c r="A15" s="97" t="s">
        <v>110</v>
      </c>
      <c r="B15" s="153">
        <v>5.2667670799999993</v>
      </c>
      <c r="C15" s="115">
        <v>0.84915558999999996</v>
      </c>
      <c r="D15" s="115">
        <v>0.59847983999999999</v>
      </c>
      <c r="E15" s="132">
        <v>6.7144025099999993</v>
      </c>
    </row>
    <row r="16" spans="1:5">
      <c r="A16" s="97" t="s">
        <v>112</v>
      </c>
      <c r="B16" s="153">
        <v>0.57754285000000005</v>
      </c>
      <c r="C16" s="115">
        <v>0.45118618999999999</v>
      </c>
      <c r="D16" s="115">
        <v>8.636626E-2</v>
      </c>
      <c r="E16" s="132">
        <v>1.1150952999999999</v>
      </c>
    </row>
    <row r="17" spans="1:5">
      <c r="A17" s="97" t="s">
        <v>65</v>
      </c>
      <c r="B17" s="153">
        <v>1.94418946</v>
      </c>
      <c r="C17" s="115">
        <v>1.0233320000000001E-2</v>
      </c>
      <c r="D17" s="115">
        <v>5.0293460000000005E-2</v>
      </c>
      <c r="E17" s="132">
        <v>2.00471624</v>
      </c>
    </row>
    <row r="18" spans="1:5">
      <c r="A18" s="97" t="s">
        <v>124</v>
      </c>
      <c r="B18" s="153">
        <v>3.0758270000000001E-2</v>
      </c>
      <c r="C18" s="115">
        <v>0.17165828999999999</v>
      </c>
      <c r="D18" s="115">
        <v>0.10368675000000001</v>
      </c>
      <c r="E18" s="132">
        <v>0.30610331000000002</v>
      </c>
    </row>
    <row r="19" spans="1:5">
      <c r="A19" s="97" t="s">
        <v>111</v>
      </c>
      <c r="B19" s="153">
        <v>0</v>
      </c>
      <c r="C19" s="115">
        <v>0</v>
      </c>
      <c r="D19" s="115">
        <v>0</v>
      </c>
      <c r="E19" s="132">
        <v>0</v>
      </c>
    </row>
    <row r="20" spans="1:5">
      <c r="A20" s="97" t="s">
        <v>115</v>
      </c>
      <c r="B20" s="153">
        <v>1.8344520799999997</v>
      </c>
      <c r="C20" s="115">
        <v>0.24984766999999999</v>
      </c>
      <c r="D20" s="115">
        <v>3.5608019999999997E-2</v>
      </c>
      <c r="E20" s="132">
        <v>2.1199077699999997</v>
      </c>
    </row>
    <row r="21" spans="1:5">
      <c r="A21" s="97" t="s">
        <v>66</v>
      </c>
      <c r="B21" s="153">
        <v>0</v>
      </c>
      <c r="C21" s="115">
        <v>0</v>
      </c>
      <c r="D21" s="115">
        <v>0</v>
      </c>
      <c r="E21" s="132">
        <v>0</v>
      </c>
    </row>
    <row r="22" spans="1:5">
      <c r="A22" s="97" t="s">
        <v>143</v>
      </c>
      <c r="B22" s="153">
        <v>0</v>
      </c>
      <c r="C22" s="115">
        <v>0</v>
      </c>
      <c r="D22" s="115">
        <v>0</v>
      </c>
      <c r="E22" s="132">
        <v>0</v>
      </c>
    </row>
    <row r="23" spans="1:5">
      <c r="A23" s="97" t="s">
        <v>67</v>
      </c>
      <c r="B23" s="153">
        <v>2.3203024999999999</v>
      </c>
      <c r="C23" s="115">
        <v>0.55553755999999999</v>
      </c>
      <c r="D23" s="115">
        <v>0.25789217999999997</v>
      </c>
      <c r="E23" s="132">
        <v>3.1337322399999996</v>
      </c>
    </row>
    <row r="24" spans="1:5">
      <c r="A24" s="97" t="s">
        <v>117</v>
      </c>
      <c r="B24" s="153">
        <v>0</v>
      </c>
      <c r="C24" s="115">
        <v>0</v>
      </c>
      <c r="D24" s="115">
        <v>0</v>
      </c>
      <c r="E24" s="132">
        <v>0</v>
      </c>
    </row>
    <row r="25" spans="1:5">
      <c r="A25" s="97" t="s">
        <v>118</v>
      </c>
      <c r="B25" s="153">
        <v>0</v>
      </c>
      <c r="C25" s="115">
        <v>0</v>
      </c>
      <c r="D25" s="115">
        <v>0</v>
      </c>
      <c r="E25" s="132">
        <v>0</v>
      </c>
    </row>
    <row r="26" spans="1:5">
      <c r="A26" s="97" t="s">
        <v>119</v>
      </c>
      <c r="B26" s="153">
        <v>5.5416989599999997</v>
      </c>
      <c r="C26" s="115">
        <v>0.35675492000000003</v>
      </c>
      <c r="D26" s="115">
        <v>0.37685409000000003</v>
      </c>
      <c r="E26" s="132">
        <v>6.2753079700000001</v>
      </c>
    </row>
    <row r="27" spans="1:5">
      <c r="A27" s="97" t="s">
        <v>126</v>
      </c>
      <c r="B27" s="153">
        <v>2.8351024499999999</v>
      </c>
      <c r="C27" s="115">
        <v>0.58015261000000007</v>
      </c>
      <c r="D27" s="115">
        <v>0.39796593999999996</v>
      </c>
      <c r="E27" s="132">
        <v>3.8132209999999995</v>
      </c>
    </row>
    <row r="28" spans="1:5">
      <c r="A28" s="97" t="s">
        <v>68</v>
      </c>
      <c r="B28" s="153">
        <v>4.3697098900000002</v>
      </c>
      <c r="C28" s="115">
        <v>0.88125156000000004</v>
      </c>
      <c r="D28" s="115">
        <v>0.51660982</v>
      </c>
      <c r="E28" s="132">
        <v>5.7675712700000004</v>
      </c>
    </row>
    <row r="29" spans="1:5">
      <c r="A29" s="97" t="s">
        <v>69</v>
      </c>
      <c r="B29" s="153">
        <v>0.53890319999999992</v>
      </c>
      <c r="C29" s="115">
        <v>0.28495355999999999</v>
      </c>
      <c r="D29" s="115">
        <v>3.7994999999999994E-2</v>
      </c>
      <c r="E29" s="132">
        <v>0.86185175999999997</v>
      </c>
    </row>
    <row r="30" spans="1:5">
      <c r="A30" s="97" t="s">
        <v>70</v>
      </c>
      <c r="B30" s="153">
        <v>3.0750738200000001</v>
      </c>
      <c r="C30" s="115">
        <v>1.1952079500000001</v>
      </c>
      <c r="D30" s="115">
        <v>0.34264205999999992</v>
      </c>
      <c r="E30" s="132">
        <v>4.6129238300000006</v>
      </c>
    </row>
    <row r="31" spans="1:5">
      <c r="A31" s="97" t="s">
        <v>71</v>
      </c>
      <c r="B31" s="153">
        <v>1.2584991200000002</v>
      </c>
      <c r="C31" s="115">
        <v>0.89378017999999992</v>
      </c>
      <c r="D31" s="115">
        <v>0.14828706</v>
      </c>
      <c r="E31" s="132">
        <v>2.3005663599999999</v>
      </c>
    </row>
    <row r="32" spans="1:5">
      <c r="A32" s="97" t="s">
        <v>72</v>
      </c>
      <c r="B32" s="153">
        <v>0.14213187999999999</v>
      </c>
      <c r="C32" s="115">
        <v>9.6397999999999987E-3</v>
      </c>
      <c r="D32" s="115">
        <v>1.5740299999999999E-2</v>
      </c>
      <c r="E32" s="132">
        <v>0.16751198</v>
      </c>
    </row>
    <row r="33" spans="1:5">
      <c r="A33" s="97" t="s">
        <v>113</v>
      </c>
      <c r="B33" s="153">
        <v>1.57757682</v>
      </c>
      <c r="C33" s="115">
        <v>0.58927889</v>
      </c>
      <c r="D33" s="115">
        <v>0.25683834999999999</v>
      </c>
      <c r="E33" s="132">
        <v>2.4236940599999999</v>
      </c>
    </row>
    <row r="34" spans="1:5">
      <c r="A34" s="97" t="s">
        <v>122</v>
      </c>
      <c r="B34" s="153">
        <v>0.82354189</v>
      </c>
      <c r="C34" s="115">
        <v>0.48446442000000001</v>
      </c>
      <c r="D34" s="115">
        <v>7.0176059999999998E-2</v>
      </c>
      <c r="E34" s="132">
        <v>1.3781823700000002</v>
      </c>
    </row>
    <row r="35" spans="1:5">
      <c r="A35" s="97" t="s">
        <v>127</v>
      </c>
      <c r="B35" s="153">
        <v>6.2521950000000007E-2</v>
      </c>
      <c r="C35" s="115">
        <v>5.7931199999999995E-2</v>
      </c>
      <c r="D35" s="115">
        <v>5.3908199999999993E-3</v>
      </c>
      <c r="E35" s="132">
        <v>0.12584397</v>
      </c>
    </row>
    <row r="36" spans="1:5">
      <c r="A36" s="97" t="s">
        <v>147</v>
      </c>
      <c r="B36" s="153">
        <v>1.2894433699999999</v>
      </c>
      <c r="C36" s="115">
        <v>2.1674102299999998</v>
      </c>
      <c r="D36" s="115">
        <v>1.53527769</v>
      </c>
      <c r="E36" s="132">
        <v>4.9921312899999997</v>
      </c>
    </row>
    <row r="37" spans="1:5">
      <c r="A37" s="97" t="s">
        <v>315</v>
      </c>
      <c r="B37" s="153">
        <v>2.0570033300000001</v>
      </c>
      <c r="C37" s="115">
        <v>1.3975601099999999</v>
      </c>
      <c r="D37" s="115">
        <v>5.5074489999999997E-2</v>
      </c>
      <c r="E37" s="132">
        <v>3.5096379300000002</v>
      </c>
    </row>
    <row r="38" spans="1:5">
      <c r="A38" s="88" t="s">
        <v>266</v>
      </c>
      <c r="B38" s="154">
        <v>134.55268415999996</v>
      </c>
      <c r="C38" s="155">
        <v>41.453716990000004</v>
      </c>
      <c r="D38" s="155">
        <v>16.640492629999997</v>
      </c>
      <c r="E38" s="156">
        <v>192.64689378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21"/>
  <sheetViews>
    <sheetView workbookViewId="0">
      <selection activeCell="E4" sqref="E4"/>
    </sheetView>
  </sheetViews>
  <sheetFormatPr defaultRowHeight="15"/>
  <cols>
    <col min="2" max="2" width="19.140625" customWidth="1"/>
    <col min="3" max="3" width="26.140625" customWidth="1"/>
  </cols>
  <sheetData>
    <row r="3" spans="2:31">
      <c r="B3" s="14"/>
      <c r="C3" s="14" t="s">
        <v>56</v>
      </c>
      <c r="D3" s="14" t="s">
        <v>48</v>
      </c>
      <c r="E3" s="14" t="s">
        <v>46</v>
      </c>
      <c r="F3" s="14" t="s">
        <v>45</v>
      </c>
      <c r="G3" s="14" t="s">
        <v>43</v>
      </c>
      <c r="H3" s="14" t="s">
        <v>42</v>
      </c>
      <c r="I3" s="14" t="s">
        <v>41</v>
      </c>
      <c r="J3" s="14" t="s">
        <v>40</v>
      </c>
      <c r="K3" s="14" t="s">
        <v>39</v>
      </c>
      <c r="L3" s="14" t="s">
        <v>38</v>
      </c>
      <c r="M3" s="14" t="s">
        <v>37</v>
      </c>
      <c r="N3" s="14" t="s">
        <v>36</v>
      </c>
      <c r="O3" s="14" t="s">
        <v>35</v>
      </c>
      <c r="P3" s="14" t="s">
        <v>34</v>
      </c>
      <c r="Q3" s="14" t="s">
        <v>33</v>
      </c>
      <c r="R3" s="14" t="s">
        <v>32</v>
      </c>
      <c r="S3" s="14" t="s">
        <v>30</v>
      </c>
      <c r="T3" s="14" t="s">
        <v>28</v>
      </c>
      <c r="U3" s="14" t="s">
        <v>27</v>
      </c>
      <c r="V3" s="14" t="s">
        <v>26</v>
      </c>
      <c r="W3" s="14" t="s">
        <v>23</v>
      </c>
      <c r="X3" s="14" t="s">
        <v>22</v>
      </c>
      <c r="Y3" s="14" t="s">
        <v>20</v>
      </c>
      <c r="Z3" s="14" t="s">
        <v>19</v>
      </c>
      <c r="AA3" s="14" t="s">
        <v>18</v>
      </c>
      <c r="AB3" s="14" t="s">
        <v>16</v>
      </c>
      <c r="AC3" s="14" t="s">
        <v>15</v>
      </c>
      <c r="AD3" s="14" t="s">
        <v>14</v>
      </c>
      <c r="AE3" s="14" t="s">
        <v>13</v>
      </c>
    </row>
    <row r="4" spans="2:31" ht="34.5" customHeight="1">
      <c r="B4" s="14"/>
      <c r="C4" s="10" t="s">
        <v>57</v>
      </c>
      <c r="D4" s="13">
        <v>-0.36</v>
      </c>
      <c r="E4" s="13">
        <v>-0.35</v>
      </c>
      <c r="F4" s="13">
        <v>0</v>
      </c>
      <c r="G4" s="13">
        <v>-0.24</v>
      </c>
      <c r="H4" s="13">
        <v>-0.14000000000000001</v>
      </c>
      <c r="I4" s="13">
        <v>-0.38</v>
      </c>
      <c r="J4" s="13">
        <v>-0.39</v>
      </c>
      <c r="K4" s="13">
        <v>-0.13</v>
      </c>
      <c r="L4" s="13">
        <v>-0.16</v>
      </c>
      <c r="M4" s="13">
        <v>-0.26</v>
      </c>
      <c r="N4" s="13">
        <v>-0.39</v>
      </c>
      <c r="O4" s="13">
        <v>-0.37</v>
      </c>
      <c r="P4" s="13">
        <v>-7.0000000000000007E-2</v>
      </c>
      <c r="Q4" s="13">
        <v>-7.0000000000000007E-2</v>
      </c>
      <c r="R4" s="13">
        <v>-0.3</v>
      </c>
      <c r="S4" s="13">
        <v>-0.33</v>
      </c>
      <c r="T4" s="13">
        <v>-0.09</v>
      </c>
      <c r="U4" s="13">
        <v>-0.4</v>
      </c>
      <c r="V4" s="13">
        <v>-0.06</v>
      </c>
      <c r="W4" s="13">
        <v>-0.19</v>
      </c>
      <c r="X4" s="13">
        <v>-0.36</v>
      </c>
      <c r="Y4" s="13">
        <v>-7.0000000000000007E-2</v>
      </c>
      <c r="Z4" s="13">
        <v>-0.17</v>
      </c>
      <c r="AA4" s="13">
        <v>-0.02</v>
      </c>
      <c r="AB4" s="13">
        <v>-0.4</v>
      </c>
      <c r="AC4" s="13">
        <v>-0.15</v>
      </c>
      <c r="AD4" s="13">
        <v>-0.12</v>
      </c>
      <c r="AE4" s="13">
        <v>-0.37</v>
      </c>
    </row>
    <row r="5" spans="2:31" ht="27" customHeight="1">
      <c r="B5" s="164" t="s">
        <v>55</v>
      </c>
      <c r="C5" s="11" t="s">
        <v>58</v>
      </c>
      <c r="D5" s="13">
        <v>0.02</v>
      </c>
      <c r="E5" s="13">
        <v>0.02</v>
      </c>
      <c r="F5" s="14"/>
      <c r="G5" s="14"/>
      <c r="H5" s="14"/>
      <c r="I5" s="14"/>
      <c r="J5" s="13">
        <v>0.02</v>
      </c>
      <c r="K5" s="14"/>
      <c r="L5" s="14"/>
      <c r="M5" s="14"/>
      <c r="N5" s="13">
        <v>0.02</v>
      </c>
      <c r="O5" s="14"/>
      <c r="P5" s="14"/>
      <c r="Q5" s="14"/>
      <c r="R5" s="13">
        <v>0.04</v>
      </c>
      <c r="S5" s="14"/>
      <c r="T5" s="14"/>
      <c r="U5" s="13">
        <v>0.04</v>
      </c>
      <c r="V5" s="14"/>
      <c r="W5" s="13">
        <v>0.02</v>
      </c>
      <c r="X5" s="13">
        <v>0.02</v>
      </c>
      <c r="Y5" s="14"/>
      <c r="Z5" s="14"/>
      <c r="AA5" s="14"/>
      <c r="AB5" s="13">
        <v>0.02</v>
      </c>
      <c r="AC5" s="14"/>
      <c r="AD5" s="14"/>
      <c r="AE5" s="14"/>
    </row>
    <row r="6" spans="2:31" ht="24" customHeight="1">
      <c r="B6" s="164"/>
      <c r="C6" s="11" t="s">
        <v>59</v>
      </c>
      <c r="D6" s="12">
        <v>4.0000000000000001E-3</v>
      </c>
      <c r="E6" s="12">
        <v>5.0000000000000001E-3</v>
      </c>
      <c r="F6" s="12">
        <v>1.4999999999999999E-2</v>
      </c>
      <c r="G6" s="12">
        <v>1.2999999999999999E-2</v>
      </c>
      <c r="H6" s="12">
        <v>4.0000000000000001E-3</v>
      </c>
      <c r="I6" s="12">
        <v>5.0000000000000001E-3</v>
      </c>
      <c r="J6" s="12">
        <v>0.04</v>
      </c>
      <c r="K6" s="12">
        <v>1.7000000000000001E-2</v>
      </c>
      <c r="L6" s="12">
        <v>1.0999999999999999E-2</v>
      </c>
      <c r="M6" s="12">
        <v>1.2999999999999999E-2</v>
      </c>
      <c r="N6" s="12">
        <v>1.2999999999999999E-2</v>
      </c>
      <c r="O6" s="12">
        <v>1.4999999999999999E-2</v>
      </c>
      <c r="P6" s="12">
        <v>5.0000000000000001E-3</v>
      </c>
      <c r="Q6" s="12">
        <v>5.0000000000000001E-3</v>
      </c>
      <c r="R6" s="12">
        <v>5.6000000000000001E-2</v>
      </c>
      <c r="S6" s="12">
        <v>3.0000000000000001E-3</v>
      </c>
      <c r="T6" s="12">
        <v>0.05</v>
      </c>
      <c r="U6" s="12">
        <v>2E-3</v>
      </c>
      <c r="V6" s="12">
        <v>3.7999999999999999E-2</v>
      </c>
      <c r="W6" s="12">
        <v>3.0000000000000001E-3</v>
      </c>
      <c r="X6" s="12">
        <v>1.0999999999999999E-2</v>
      </c>
      <c r="Y6" s="12">
        <v>1.2E-2</v>
      </c>
      <c r="Z6" s="12">
        <v>0.01</v>
      </c>
      <c r="AA6" s="12">
        <v>1.7000000000000001E-2</v>
      </c>
      <c r="AB6" s="12">
        <v>1.0999999999999999E-2</v>
      </c>
      <c r="AC6" s="12">
        <v>1.0999999999999999E-2</v>
      </c>
      <c r="AD6" s="12">
        <v>5.0000000000000001E-3</v>
      </c>
      <c r="AE6" s="12">
        <v>4.0000000000000001E-3</v>
      </c>
    </row>
    <row r="8" spans="2:31">
      <c r="G8" t="s">
        <v>45</v>
      </c>
      <c r="H8" t="s">
        <v>34</v>
      </c>
      <c r="I8" t="s">
        <v>42</v>
      </c>
      <c r="J8" t="s">
        <v>39</v>
      </c>
      <c r="K8" t="s">
        <v>33</v>
      </c>
      <c r="L8" t="s">
        <v>26</v>
      </c>
      <c r="M8" t="s">
        <v>28</v>
      </c>
      <c r="N8" t="s">
        <v>20</v>
      </c>
      <c r="O8" t="s">
        <v>19</v>
      </c>
      <c r="P8" t="s">
        <v>18</v>
      </c>
      <c r="Q8" t="s">
        <v>14</v>
      </c>
      <c r="R8" t="s">
        <v>15</v>
      </c>
    </row>
    <row r="9" spans="2:31">
      <c r="B9" s="14" t="s">
        <v>60</v>
      </c>
      <c r="D9" s="14"/>
      <c r="G9" s="14" t="s">
        <v>61</v>
      </c>
      <c r="H9" s="14" t="s">
        <v>62</v>
      </c>
      <c r="I9" s="14" t="s">
        <v>63</v>
      </c>
      <c r="J9" s="14" t="s">
        <v>64</v>
      </c>
      <c r="K9" s="14" t="s">
        <v>65</v>
      </c>
      <c r="L9" s="14" t="s">
        <v>66</v>
      </c>
      <c r="M9" s="14" t="s">
        <v>67</v>
      </c>
      <c r="N9" s="14" t="s">
        <v>68</v>
      </c>
      <c r="O9" s="14" t="s">
        <v>69</v>
      </c>
      <c r="P9" s="14" t="s">
        <v>70</v>
      </c>
      <c r="Q9" s="14" t="s">
        <v>71</v>
      </c>
      <c r="R9" s="14" t="s">
        <v>72</v>
      </c>
    </row>
    <row r="10" spans="2:31">
      <c r="C10" s="14"/>
      <c r="D10" s="14"/>
      <c r="F10" s="14"/>
      <c r="G10" s="14">
        <v>1602912</v>
      </c>
      <c r="H10" s="14">
        <v>1148708</v>
      </c>
      <c r="I10" s="14">
        <v>4440079</v>
      </c>
      <c r="J10" s="14">
        <v>145944</v>
      </c>
      <c r="K10" s="14">
        <v>6705956</v>
      </c>
      <c r="L10" s="14">
        <v>547061</v>
      </c>
      <c r="M10" s="14">
        <v>2165895</v>
      </c>
      <c r="N10" s="14">
        <v>7456340</v>
      </c>
      <c r="O10" s="14">
        <v>1655253</v>
      </c>
      <c r="P10" s="14">
        <v>10932743</v>
      </c>
      <c r="Q10" s="14">
        <v>2160210</v>
      </c>
      <c r="R10" s="14">
        <v>178809</v>
      </c>
    </row>
    <row r="11" spans="2:31">
      <c r="C11" s="14"/>
      <c r="D11" s="14"/>
    </row>
    <row r="12" spans="2:31">
      <c r="C12" s="14"/>
      <c r="D12" s="14"/>
    </row>
    <row r="13" spans="2:31">
      <c r="C13" s="14"/>
      <c r="D13" s="14"/>
    </row>
    <row r="14" spans="2:31">
      <c r="C14" s="14"/>
      <c r="D14" s="14"/>
    </row>
    <row r="15" spans="2:31">
      <c r="C15" s="14"/>
      <c r="D15" s="14"/>
    </row>
    <row r="16" spans="2:31">
      <c r="C16" s="14"/>
      <c r="D16" s="14"/>
    </row>
    <row r="17" spans="3:4">
      <c r="C17" s="14"/>
      <c r="D17" s="14"/>
    </row>
    <row r="18" spans="3:4">
      <c r="C18" s="14"/>
      <c r="D18" s="14"/>
    </row>
    <row r="19" spans="3:4">
      <c r="C19" s="14"/>
      <c r="D19" s="14"/>
    </row>
    <row r="20" spans="3:4">
      <c r="C20" s="14"/>
      <c r="D20" s="14"/>
    </row>
    <row r="21" spans="3:4">
      <c r="C21" s="14"/>
      <c r="D21" s="14"/>
    </row>
  </sheetData>
  <mergeCells count="1">
    <mergeCell ref="B5:B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85"/>
  <sheetViews>
    <sheetView topLeftCell="A83" workbookViewId="0">
      <selection activeCell="L119" sqref="L119"/>
    </sheetView>
  </sheetViews>
  <sheetFormatPr defaultRowHeight="15"/>
  <cols>
    <col min="9" max="9" width="27.42578125" bestFit="1" customWidth="1"/>
    <col min="14" max="14" width="10.5703125" bestFit="1" customWidth="1"/>
    <col min="15" max="15" width="9.28515625" bestFit="1" customWidth="1"/>
  </cols>
  <sheetData>
    <row r="2" spans="2:15">
      <c r="B2" s="148" t="s">
        <v>286</v>
      </c>
      <c r="C2" s="148" t="s">
        <v>287</v>
      </c>
      <c r="D2" s="148" t="s">
        <v>288</v>
      </c>
      <c r="E2" s="148" t="s">
        <v>56</v>
      </c>
      <c r="F2" s="148" t="s">
        <v>289</v>
      </c>
      <c r="G2" s="148" t="s">
        <v>290</v>
      </c>
      <c r="H2" s="148" t="s">
        <v>3</v>
      </c>
      <c r="I2" s="148" t="s">
        <v>291</v>
      </c>
      <c r="J2" s="148" t="s">
        <v>292</v>
      </c>
      <c r="K2" s="148" t="s">
        <v>293</v>
      </c>
      <c r="L2" s="148" t="s">
        <v>294</v>
      </c>
      <c r="M2" s="148" t="s">
        <v>295</v>
      </c>
      <c r="N2" s="148" t="s">
        <v>296</v>
      </c>
      <c r="O2" s="148" t="s">
        <v>408</v>
      </c>
    </row>
    <row r="3" spans="2:15">
      <c r="B3" s="149" t="s">
        <v>297</v>
      </c>
      <c r="C3" s="149" t="s">
        <v>298</v>
      </c>
      <c r="D3" s="149" t="s">
        <v>48</v>
      </c>
      <c r="E3" s="149" t="s">
        <v>120</v>
      </c>
      <c r="F3" s="149" t="s">
        <v>299</v>
      </c>
      <c r="G3" s="149" t="s">
        <v>305</v>
      </c>
      <c r="H3" s="149" t="s">
        <v>95</v>
      </c>
      <c r="I3" s="149" t="s">
        <v>402</v>
      </c>
      <c r="J3" s="149" t="s">
        <v>403</v>
      </c>
      <c r="K3" s="149" t="s">
        <v>404</v>
      </c>
      <c r="L3" s="149" t="s">
        <v>96</v>
      </c>
      <c r="M3" s="149" t="s">
        <v>304</v>
      </c>
      <c r="N3" s="150">
        <v>0.88439999999999996</v>
      </c>
      <c r="O3" s="115">
        <f>IF(G3="CH4",N3*25,IF(G3="N2O",N3*298,N3))/1000</f>
        <v>0.26355119999999999</v>
      </c>
    </row>
    <row r="4" spans="2:15">
      <c r="B4" s="149" t="s">
        <v>297</v>
      </c>
      <c r="C4" s="149" t="s">
        <v>298</v>
      </c>
      <c r="D4" s="149" t="s">
        <v>48</v>
      </c>
      <c r="E4" s="149" t="s">
        <v>120</v>
      </c>
      <c r="F4" s="149" t="s">
        <v>299</v>
      </c>
      <c r="G4" s="149" t="s">
        <v>305</v>
      </c>
      <c r="H4" s="149" t="s">
        <v>101</v>
      </c>
      <c r="I4" s="149" t="s">
        <v>402</v>
      </c>
      <c r="J4" s="149" t="s">
        <v>403</v>
      </c>
      <c r="K4" s="149" t="s">
        <v>404</v>
      </c>
      <c r="L4" s="149" t="s">
        <v>96</v>
      </c>
      <c r="M4" s="149" t="s">
        <v>304</v>
      </c>
      <c r="N4" s="150">
        <v>0.20480000000000001</v>
      </c>
      <c r="O4" s="115">
        <f t="shared" ref="O4:O67" si="0">IF(G4="CH4",N4*25,IF(G4="N2O",N4*298,N4))/1000</f>
        <v>6.1030399999999999E-2</v>
      </c>
    </row>
    <row r="5" spans="2:15">
      <c r="B5" s="149" t="s">
        <v>297</v>
      </c>
      <c r="C5" s="149" t="s">
        <v>298</v>
      </c>
      <c r="D5" s="149" t="s">
        <v>48</v>
      </c>
      <c r="E5" s="149" t="s">
        <v>120</v>
      </c>
      <c r="F5" s="149" t="s">
        <v>299</v>
      </c>
      <c r="G5" s="149" t="s">
        <v>305</v>
      </c>
      <c r="H5" s="149" t="s">
        <v>106</v>
      </c>
      <c r="I5" s="149" t="s">
        <v>402</v>
      </c>
      <c r="J5" s="149" t="s">
        <v>403</v>
      </c>
      <c r="K5" s="149" t="s">
        <v>404</v>
      </c>
      <c r="L5" s="149" t="s">
        <v>96</v>
      </c>
      <c r="M5" s="149" t="s">
        <v>304</v>
      </c>
      <c r="N5" s="150">
        <v>0.15723000000000001</v>
      </c>
      <c r="O5" s="115">
        <f t="shared" si="0"/>
        <v>4.685454E-2</v>
      </c>
    </row>
    <row r="6" spans="2:15">
      <c r="B6" s="149" t="s">
        <v>297</v>
      </c>
      <c r="C6" s="149" t="s">
        <v>298</v>
      </c>
      <c r="D6" s="149" t="s">
        <v>46</v>
      </c>
      <c r="E6" s="149" t="s">
        <v>108</v>
      </c>
      <c r="F6" s="149" t="s">
        <v>299</v>
      </c>
      <c r="G6" s="149" t="s">
        <v>305</v>
      </c>
      <c r="H6" s="149" t="s">
        <v>95</v>
      </c>
      <c r="I6" s="149" t="s">
        <v>402</v>
      </c>
      <c r="J6" s="149" t="s">
        <v>403</v>
      </c>
      <c r="K6" s="149" t="s">
        <v>404</v>
      </c>
      <c r="L6" s="149" t="s">
        <v>96</v>
      </c>
      <c r="M6" s="149" t="s">
        <v>304</v>
      </c>
      <c r="N6" s="150">
        <v>9.8910599999999995</v>
      </c>
      <c r="O6" s="115">
        <f t="shared" si="0"/>
        <v>2.9475358799999998</v>
      </c>
    </row>
    <row r="7" spans="2:15">
      <c r="B7" s="149" t="s">
        <v>297</v>
      </c>
      <c r="C7" s="149" t="s">
        <v>298</v>
      </c>
      <c r="D7" s="149" t="s">
        <v>45</v>
      </c>
      <c r="E7" s="149" t="s">
        <v>61</v>
      </c>
      <c r="F7" s="149" t="s">
        <v>299</v>
      </c>
      <c r="G7" s="149" t="s">
        <v>305</v>
      </c>
      <c r="H7" s="149" t="s">
        <v>106</v>
      </c>
      <c r="I7" s="149" t="s">
        <v>402</v>
      </c>
      <c r="J7" s="149" t="s">
        <v>403</v>
      </c>
      <c r="K7" s="149" t="s">
        <v>404</v>
      </c>
      <c r="L7" s="149" t="s">
        <v>96</v>
      </c>
      <c r="M7" s="149" t="s">
        <v>304</v>
      </c>
      <c r="N7" s="150">
        <v>0.42149999999999999</v>
      </c>
      <c r="O7" s="115">
        <f t="shared" si="0"/>
        <v>0.125607</v>
      </c>
    </row>
    <row r="8" spans="2:15">
      <c r="B8" s="149" t="s">
        <v>297</v>
      </c>
      <c r="C8" s="149" t="s">
        <v>298</v>
      </c>
      <c r="D8" s="149" t="s">
        <v>45</v>
      </c>
      <c r="E8" s="149" t="s">
        <v>61</v>
      </c>
      <c r="F8" s="149" t="s">
        <v>299</v>
      </c>
      <c r="G8" s="149" t="s">
        <v>305</v>
      </c>
      <c r="H8" s="149" t="s">
        <v>95</v>
      </c>
      <c r="I8" s="149" t="s">
        <v>402</v>
      </c>
      <c r="J8" s="149" t="s">
        <v>403</v>
      </c>
      <c r="K8" s="149" t="s">
        <v>404</v>
      </c>
      <c r="L8" s="149" t="s">
        <v>96</v>
      </c>
      <c r="M8" s="149" t="s">
        <v>304</v>
      </c>
      <c r="N8" s="150">
        <v>2.94794</v>
      </c>
      <c r="O8" s="115">
        <f t="shared" si="0"/>
        <v>0.87848612000000004</v>
      </c>
    </row>
    <row r="9" spans="2:15">
      <c r="B9" s="149" t="s">
        <v>297</v>
      </c>
      <c r="C9" s="149" t="s">
        <v>298</v>
      </c>
      <c r="D9" s="149" t="s">
        <v>45</v>
      </c>
      <c r="E9" s="149" t="s">
        <v>61</v>
      </c>
      <c r="F9" s="149" t="s">
        <v>299</v>
      </c>
      <c r="G9" s="149" t="s">
        <v>305</v>
      </c>
      <c r="H9" s="149" t="s">
        <v>101</v>
      </c>
      <c r="I9" s="149" t="s">
        <v>402</v>
      </c>
      <c r="J9" s="149" t="s">
        <v>403</v>
      </c>
      <c r="K9" s="149" t="s">
        <v>404</v>
      </c>
      <c r="L9" s="149" t="s">
        <v>96</v>
      </c>
      <c r="M9" s="149" t="s">
        <v>304</v>
      </c>
      <c r="N9" s="150">
        <v>0.86292999999999997</v>
      </c>
      <c r="O9" s="115">
        <f t="shared" si="0"/>
        <v>0.25715314</v>
      </c>
    </row>
    <row r="10" spans="2:15">
      <c r="B10" s="149" t="s">
        <v>297</v>
      </c>
      <c r="C10" s="149" t="s">
        <v>298</v>
      </c>
      <c r="D10" s="149" t="s">
        <v>46</v>
      </c>
      <c r="E10" s="149" t="s">
        <v>108</v>
      </c>
      <c r="F10" s="149" t="s">
        <v>299</v>
      </c>
      <c r="G10" s="149" t="s">
        <v>305</v>
      </c>
      <c r="H10" s="149" t="s">
        <v>101</v>
      </c>
      <c r="I10" s="149" t="s">
        <v>402</v>
      </c>
      <c r="J10" s="149" t="s">
        <v>403</v>
      </c>
      <c r="K10" s="149" t="s">
        <v>404</v>
      </c>
      <c r="L10" s="149" t="s">
        <v>96</v>
      </c>
      <c r="M10" s="149" t="s">
        <v>304</v>
      </c>
      <c r="N10" s="150">
        <v>6.0150699999999997</v>
      </c>
      <c r="O10" s="115">
        <f t="shared" si="0"/>
        <v>1.7924908599999998</v>
      </c>
    </row>
    <row r="11" spans="2:15">
      <c r="B11" s="149" t="s">
        <v>297</v>
      </c>
      <c r="C11" s="149" t="s">
        <v>298</v>
      </c>
      <c r="D11" s="149" t="s">
        <v>46</v>
      </c>
      <c r="E11" s="149" t="s">
        <v>108</v>
      </c>
      <c r="F11" s="149" t="s">
        <v>299</v>
      </c>
      <c r="G11" s="149" t="s">
        <v>305</v>
      </c>
      <c r="H11" s="149" t="s">
        <v>106</v>
      </c>
      <c r="I11" s="149" t="s">
        <v>402</v>
      </c>
      <c r="J11" s="149" t="s">
        <v>403</v>
      </c>
      <c r="K11" s="149" t="s">
        <v>404</v>
      </c>
      <c r="L11" s="149" t="s">
        <v>96</v>
      </c>
      <c r="M11" s="149" t="s">
        <v>304</v>
      </c>
      <c r="N11" s="150">
        <v>1.25888</v>
      </c>
      <c r="O11" s="115">
        <f t="shared" si="0"/>
        <v>0.37514623999999996</v>
      </c>
    </row>
    <row r="12" spans="2:15">
      <c r="B12" s="149" t="s">
        <v>297</v>
      </c>
      <c r="C12" s="149" t="s">
        <v>298</v>
      </c>
      <c r="D12" s="149" t="s">
        <v>44</v>
      </c>
      <c r="E12" s="149" t="s">
        <v>127</v>
      </c>
      <c r="F12" s="149" t="s">
        <v>299</v>
      </c>
      <c r="G12" s="149" t="s">
        <v>305</v>
      </c>
      <c r="H12" s="149" t="s">
        <v>106</v>
      </c>
      <c r="I12" s="149" t="s">
        <v>402</v>
      </c>
      <c r="J12" s="149" t="s">
        <v>403</v>
      </c>
      <c r="K12" s="149" t="s">
        <v>404</v>
      </c>
      <c r="L12" s="149" t="s">
        <v>96</v>
      </c>
      <c r="M12" s="149" t="s">
        <v>304</v>
      </c>
      <c r="N12" s="150">
        <v>1.8089999999999998E-2</v>
      </c>
      <c r="O12" s="115">
        <f t="shared" si="0"/>
        <v>5.3908199999999993E-3</v>
      </c>
    </row>
    <row r="13" spans="2:15">
      <c r="B13" s="149" t="s">
        <v>297</v>
      </c>
      <c r="C13" s="149" t="s">
        <v>298</v>
      </c>
      <c r="D13" s="149" t="s">
        <v>43</v>
      </c>
      <c r="E13" s="149" t="s">
        <v>116</v>
      </c>
      <c r="F13" s="149" t="s">
        <v>299</v>
      </c>
      <c r="G13" s="149" t="s">
        <v>305</v>
      </c>
      <c r="H13" s="149" t="s">
        <v>101</v>
      </c>
      <c r="I13" s="149" t="s">
        <v>402</v>
      </c>
      <c r="J13" s="149" t="s">
        <v>403</v>
      </c>
      <c r="K13" s="149" t="s">
        <v>404</v>
      </c>
      <c r="L13" s="149" t="s">
        <v>21</v>
      </c>
      <c r="M13" s="149" t="s">
        <v>304</v>
      </c>
      <c r="N13" s="150">
        <v>0</v>
      </c>
      <c r="O13" s="115">
        <f t="shared" si="0"/>
        <v>0</v>
      </c>
    </row>
    <row r="14" spans="2:15">
      <c r="B14" s="149" t="s">
        <v>297</v>
      </c>
      <c r="C14" s="149" t="s">
        <v>298</v>
      </c>
      <c r="D14" s="149" t="s">
        <v>44</v>
      </c>
      <c r="E14" s="149" t="s">
        <v>127</v>
      </c>
      <c r="F14" s="149" t="s">
        <v>299</v>
      </c>
      <c r="G14" s="149" t="s">
        <v>305</v>
      </c>
      <c r="H14" s="149" t="s">
        <v>95</v>
      </c>
      <c r="I14" s="149" t="s">
        <v>402</v>
      </c>
      <c r="J14" s="149" t="s">
        <v>403</v>
      </c>
      <c r="K14" s="149" t="s">
        <v>404</v>
      </c>
      <c r="L14" s="149" t="s">
        <v>96</v>
      </c>
      <c r="M14" s="149" t="s">
        <v>304</v>
      </c>
      <c r="N14" s="150">
        <v>0.16839000000000001</v>
      </c>
      <c r="O14" s="115">
        <f t="shared" si="0"/>
        <v>5.0180220000000005E-2</v>
      </c>
    </row>
    <row r="15" spans="2:15">
      <c r="B15" s="149" t="s">
        <v>297</v>
      </c>
      <c r="C15" s="149" t="s">
        <v>298</v>
      </c>
      <c r="D15" s="149" t="s">
        <v>41</v>
      </c>
      <c r="E15" s="149" t="s">
        <v>110</v>
      </c>
      <c r="F15" s="149" t="s">
        <v>299</v>
      </c>
      <c r="G15" s="149" t="s">
        <v>305</v>
      </c>
      <c r="H15" s="149" t="s">
        <v>95</v>
      </c>
      <c r="I15" s="149" t="s">
        <v>402</v>
      </c>
      <c r="J15" s="149" t="s">
        <v>403</v>
      </c>
      <c r="K15" s="149" t="s">
        <v>404</v>
      </c>
      <c r="L15" s="149" t="s">
        <v>96</v>
      </c>
      <c r="M15" s="149" t="s">
        <v>304</v>
      </c>
      <c r="N15" s="150">
        <v>16.35868</v>
      </c>
      <c r="O15" s="115">
        <f t="shared" si="0"/>
        <v>4.8748866399999997</v>
      </c>
    </row>
    <row r="16" spans="2:15">
      <c r="B16" s="149" t="s">
        <v>297</v>
      </c>
      <c r="C16" s="149" t="s">
        <v>298</v>
      </c>
      <c r="D16" s="149" t="s">
        <v>41</v>
      </c>
      <c r="E16" s="149" t="s">
        <v>110</v>
      </c>
      <c r="F16" s="149" t="s">
        <v>299</v>
      </c>
      <c r="G16" s="149" t="s">
        <v>305</v>
      </c>
      <c r="H16" s="149" t="s">
        <v>101</v>
      </c>
      <c r="I16" s="149" t="s">
        <v>402</v>
      </c>
      <c r="J16" s="149" t="s">
        <v>403</v>
      </c>
      <c r="K16" s="149" t="s">
        <v>404</v>
      </c>
      <c r="L16" s="149" t="s">
        <v>96</v>
      </c>
      <c r="M16" s="149" t="s">
        <v>304</v>
      </c>
      <c r="N16" s="150">
        <v>2.3233899999999998</v>
      </c>
      <c r="O16" s="115">
        <f t="shared" si="0"/>
        <v>0.69237021999999993</v>
      </c>
    </row>
    <row r="17" spans="2:15">
      <c r="B17" s="149" t="s">
        <v>297</v>
      </c>
      <c r="C17" s="149" t="s">
        <v>298</v>
      </c>
      <c r="D17" s="149" t="s">
        <v>40</v>
      </c>
      <c r="E17" s="149" t="s">
        <v>109</v>
      </c>
      <c r="F17" s="149" t="s">
        <v>299</v>
      </c>
      <c r="G17" s="149" t="s">
        <v>305</v>
      </c>
      <c r="H17" s="149" t="s">
        <v>95</v>
      </c>
      <c r="I17" s="149" t="s">
        <v>402</v>
      </c>
      <c r="J17" s="149" t="s">
        <v>403</v>
      </c>
      <c r="K17" s="149" t="s">
        <v>404</v>
      </c>
      <c r="L17" s="149" t="s">
        <v>21</v>
      </c>
      <c r="M17" s="149" t="s">
        <v>304</v>
      </c>
      <c r="N17" s="150">
        <v>0</v>
      </c>
      <c r="O17" s="115">
        <f t="shared" si="0"/>
        <v>0</v>
      </c>
    </row>
    <row r="18" spans="2:15">
      <c r="B18" s="149" t="s">
        <v>297</v>
      </c>
      <c r="C18" s="149" t="s">
        <v>298</v>
      </c>
      <c r="D18" s="149" t="s">
        <v>40</v>
      </c>
      <c r="E18" s="149" t="s">
        <v>109</v>
      </c>
      <c r="F18" s="149" t="s">
        <v>299</v>
      </c>
      <c r="G18" s="149" t="s">
        <v>305</v>
      </c>
      <c r="H18" s="149" t="s">
        <v>106</v>
      </c>
      <c r="I18" s="149" t="s">
        <v>402</v>
      </c>
      <c r="J18" s="149" t="s">
        <v>403</v>
      </c>
      <c r="K18" s="149" t="s">
        <v>404</v>
      </c>
      <c r="L18" s="149" t="s">
        <v>21</v>
      </c>
      <c r="M18" s="149" t="s">
        <v>304</v>
      </c>
      <c r="N18" s="150">
        <v>0</v>
      </c>
      <c r="O18" s="115">
        <f t="shared" si="0"/>
        <v>0</v>
      </c>
    </row>
    <row r="19" spans="2:15">
      <c r="B19" s="149" t="s">
        <v>297</v>
      </c>
      <c r="C19" s="149" t="s">
        <v>298</v>
      </c>
      <c r="D19" s="149" t="s">
        <v>42</v>
      </c>
      <c r="E19" s="149" t="s">
        <v>63</v>
      </c>
      <c r="F19" s="149" t="s">
        <v>299</v>
      </c>
      <c r="G19" s="149" t="s">
        <v>305</v>
      </c>
      <c r="H19" s="149" t="s">
        <v>101</v>
      </c>
      <c r="I19" s="149" t="s">
        <v>402</v>
      </c>
      <c r="J19" s="149" t="s">
        <v>403</v>
      </c>
      <c r="K19" s="149" t="s">
        <v>404</v>
      </c>
      <c r="L19" s="149" t="s">
        <v>96</v>
      </c>
      <c r="M19" s="149" t="s">
        <v>304</v>
      </c>
      <c r="N19" s="150">
        <v>1.0945</v>
      </c>
      <c r="O19" s="115">
        <f t="shared" si="0"/>
        <v>0.32616099999999998</v>
      </c>
    </row>
    <row r="20" spans="2:15">
      <c r="B20" s="149" t="s">
        <v>297</v>
      </c>
      <c r="C20" s="149" t="s">
        <v>298</v>
      </c>
      <c r="D20" s="149" t="s">
        <v>39</v>
      </c>
      <c r="E20" s="149" t="s">
        <v>64</v>
      </c>
      <c r="F20" s="149" t="s">
        <v>299</v>
      </c>
      <c r="G20" s="149" t="s">
        <v>305</v>
      </c>
      <c r="H20" s="149" t="s">
        <v>101</v>
      </c>
      <c r="I20" s="149" t="s">
        <v>402</v>
      </c>
      <c r="J20" s="149" t="s">
        <v>403</v>
      </c>
      <c r="K20" s="149" t="s">
        <v>404</v>
      </c>
      <c r="L20" s="149" t="s">
        <v>21</v>
      </c>
      <c r="M20" s="149" t="s">
        <v>304</v>
      </c>
      <c r="N20" s="150">
        <v>0</v>
      </c>
      <c r="O20" s="115">
        <f t="shared" si="0"/>
        <v>0</v>
      </c>
    </row>
    <row r="21" spans="2:15">
      <c r="B21" s="149" t="s">
        <v>297</v>
      </c>
      <c r="C21" s="149" t="s">
        <v>298</v>
      </c>
      <c r="D21" s="149" t="s">
        <v>37</v>
      </c>
      <c r="E21" s="149" t="s">
        <v>113</v>
      </c>
      <c r="F21" s="149" t="s">
        <v>299</v>
      </c>
      <c r="G21" s="149" t="s">
        <v>305</v>
      </c>
      <c r="H21" s="149" t="s">
        <v>95</v>
      </c>
      <c r="I21" s="149" t="s">
        <v>402</v>
      </c>
      <c r="J21" s="149" t="s">
        <v>403</v>
      </c>
      <c r="K21" s="149" t="s">
        <v>404</v>
      </c>
      <c r="L21" s="149" t="s">
        <v>96</v>
      </c>
      <c r="M21" s="149" t="s">
        <v>304</v>
      </c>
      <c r="N21" s="150">
        <v>4.5889699999999998</v>
      </c>
      <c r="O21" s="115">
        <f t="shared" si="0"/>
        <v>1.3675130600000001</v>
      </c>
    </row>
    <row r="22" spans="2:15">
      <c r="B22" s="149" t="s">
        <v>297</v>
      </c>
      <c r="C22" s="149" t="s">
        <v>298</v>
      </c>
      <c r="D22" s="149" t="s">
        <v>308</v>
      </c>
      <c r="E22" s="149" t="s">
        <v>309</v>
      </c>
      <c r="F22" s="149" t="s">
        <v>299</v>
      </c>
      <c r="G22" s="149" t="s">
        <v>305</v>
      </c>
      <c r="H22" s="149" t="s">
        <v>101</v>
      </c>
      <c r="I22" s="149" t="s">
        <v>402</v>
      </c>
      <c r="J22" s="149" t="s">
        <v>403</v>
      </c>
      <c r="K22" s="149" t="s">
        <v>404</v>
      </c>
      <c r="L22" s="149" t="s">
        <v>96</v>
      </c>
      <c r="M22" s="149" t="s">
        <v>304</v>
      </c>
      <c r="N22" s="150">
        <v>39.894910000000003</v>
      </c>
      <c r="O22" s="115">
        <f t="shared" si="0"/>
        <v>11.888683179999999</v>
      </c>
    </row>
    <row r="23" spans="2:15">
      <c r="B23" s="149" t="s">
        <v>297</v>
      </c>
      <c r="C23" s="149" t="s">
        <v>298</v>
      </c>
      <c r="D23" s="149" t="s">
        <v>310</v>
      </c>
      <c r="E23" s="149" t="s">
        <v>311</v>
      </c>
      <c r="F23" s="149" t="s">
        <v>299</v>
      </c>
      <c r="G23" s="149" t="s">
        <v>305</v>
      </c>
      <c r="H23" s="149" t="s">
        <v>101</v>
      </c>
      <c r="I23" s="149" t="s">
        <v>402</v>
      </c>
      <c r="J23" s="149" t="s">
        <v>403</v>
      </c>
      <c r="K23" s="149" t="s">
        <v>404</v>
      </c>
      <c r="L23" s="149" t="s">
        <v>96</v>
      </c>
      <c r="M23" s="149" t="s">
        <v>304</v>
      </c>
      <c r="N23" s="150">
        <v>39.894910000000003</v>
      </c>
      <c r="O23" s="115">
        <f t="shared" si="0"/>
        <v>11.888683179999999</v>
      </c>
    </row>
    <row r="24" spans="2:15">
      <c r="B24" s="149" t="s">
        <v>297</v>
      </c>
      <c r="C24" s="149" t="s">
        <v>298</v>
      </c>
      <c r="D24" s="149" t="s">
        <v>310</v>
      </c>
      <c r="E24" s="149" t="s">
        <v>311</v>
      </c>
      <c r="F24" s="149" t="s">
        <v>299</v>
      </c>
      <c r="G24" s="149" t="s">
        <v>305</v>
      </c>
      <c r="H24" s="149" t="s">
        <v>106</v>
      </c>
      <c r="I24" s="149" t="s">
        <v>402</v>
      </c>
      <c r="J24" s="149" t="s">
        <v>403</v>
      </c>
      <c r="K24" s="149" t="s">
        <v>404</v>
      </c>
      <c r="L24" s="149" t="s">
        <v>96</v>
      </c>
      <c r="M24" s="149" t="s">
        <v>304</v>
      </c>
      <c r="N24" s="150">
        <v>14.89823</v>
      </c>
      <c r="O24" s="115">
        <f t="shared" si="0"/>
        <v>4.4396725399999992</v>
      </c>
    </row>
    <row r="25" spans="2:15">
      <c r="B25" s="149" t="s">
        <v>297</v>
      </c>
      <c r="C25" s="149" t="s">
        <v>298</v>
      </c>
      <c r="D25" s="149" t="s">
        <v>35</v>
      </c>
      <c r="E25" s="149" t="s">
        <v>114</v>
      </c>
      <c r="F25" s="149" t="s">
        <v>299</v>
      </c>
      <c r="G25" s="149" t="s">
        <v>305</v>
      </c>
      <c r="H25" s="149" t="s">
        <v>101</v>
      </c>
      <c r="I25" s="149" t="s">
        <v>402</v>
      </c>
      <c r="J25" s="149" t="s">
        <v>403</v>
      </c>
      <c r="K25" s="149" t="s">
        <v>404</v>
      </c>
      <c r="L25" s="149" t="s">
        <v>96</v>
      </c>
      <c r="M25" s="149" t="s">
        <v>304</v>
      </c>
      <c r="N25" s="150">
        <v>3.8421400000000001</v>
      </c>
      <c r="O25" s="115">
        <f t="shared" si="0"/>
        <v>1.1449577200000001</v>
      </c>
    </row>
    <row r="26" spans="2:15">
      <c r="B26" s="149" t="s">
        <v>297</v>
      </c>
      <c r="C26" s="149" t="s">
        <v>298</v>
      </c>
      <c r="D26" s="149" t="s">
        <v>36</v>
      </c>
      <c r="E26" s="149" t="s">
        <v>121</v>
      </c>
      <c r="F26" s="149" t="s">
        <v>299</v>
      </c>
      <c r="G26" s="149" t="s">
        <v>305</v>
      </c>
      <c r="H26" s="149" t="s">
        <v>95</v>
      </c>
      <c r="I26" s="149" t="s">
        <v>402</v>
      </c>
      <c r="J26" s="149" t="s">
        <v>403</v>
      </c>
      <c r="K26" s="149" t="s">
        <v>404</v>
      </c>
      <c r="L26" s="149" t="s">
        <v>96</v>
      </c>
      <c r="M26" s="149" t="s">
        <v>304</v>
      </c>
      <c r="N26" s="150">
        <v>5.2425800000000002</v>
      </c>
      <c r="O26" s="115">
        <f t="shared" si="0"/>
        <v>1.5622888400000001</v>
      </c>
    </row>
    <row r="27" spans="2:15">
      <c r="B27" s="149" t="s">
        <v>297</v>
      </c>
      <c r="C27" s="149" t="s">
        <v>298</v>
      </c>
      <c r="D27" s="149" t="s">
        <v>35</v>
      </c>
      <c r="E27" s="149" t="s">
        <v>114</v>
      </c>
      <c r="F27" s="149" t="s">
        <v>299</v>
      </c>
      <c r="G27" s="149" t="s">
        <v>305</v>
      </c>
      <c r="H27" s="149" t="s">
        <v>106</v>
      </c>
      <c r="I27" s="149" t="s">
        <v>402</v>
      </c>
      <c r="J27" s="149" t="s">
        <v>403</v>
      </c>
      <c r="K27" s="149" t="s">
        <v>404</v>
      </c>
      <c r="L27" s="149" t="s">
        <v>96</v>
      </c>
      <c r="M27" s="149" t="s">
        <v>304</v>
      </c>
      <c r="N27" s="150">
        <v>1.75431</v>
      </c>
      <c r="O27" s="115">
        <f t="shared" si="0"/>
        <v>0.52278438000000005</v>
      </c>
    </row>
    <row r="28" spans="2:15">
      <c r="B28" s="149" t="s">
        <v>297</v>
      </c>
      <c r="C28" s="149" t="s">
        <v>298</v>
      </c>
      <c r="D28" s="149" t="s">
        <v>312</v>
      </c>
      <c r="E28" s="149" t="s">
        <v>112</v>
      </c>
      <c r="F28" s="149" t="s">
        <v>299</v>
      </c>
      <c r="G28" s="149" t="s">
        <v>305</v>
      </c>
      <c r="H28" s="149" t="s">
        <v>95</v>
      </c>
      <c r="I28" s="149" t="s">
        <v>402</v>
      </c>
      <c r="J28" s="149" t="s">
        <v>403</v>
      </c>
      <c r="K28" s="149" t="s">
        <v>404</v>
      </c>
      <c r="L28" s="149" t="s">
        <v>96</v>
      </c>
      <c r="M28" s="149" t="s">
        <v>304</v>
      </c>
      <c r="N28" s="150">
        <v>1.76065</v>
      </c>
      <c r="O28" s="115">
        <f t="shared" si="0"/>
        <v>0.52467370000000002</v>
      </c>
    </row>
    <row r="29" spans="2:15">
      <c r="B29" s="149" t="s">
        <v>297</v>
      </c>
      <c r="C29" s="149" t="s">
        <v>298</v>
      </c>
      <c r="D29" s="149" t="s">
        <v>312</v>
      </c>
      <c r="E29" s="149" t="s">
        <v>112</v>
      </c>
      <c r="F29" s="149" t="s">
        <v>299</v>
      </c>
      <c r="G29" s="149" t="s">
        <v>305</v>
      </c>
      <c r="H29" s="149" t="s">
        <v>101</v>
      </c>
      <c r="I29" s="149" t="s">
        <v>402</v>
      </c>
      <c r="J29" s="149" t="s">
        <v>403</v>
      </c>
      <c r="K29" s="149" t="s">
        <v>404</v>
      </c>
      <c r="L29" s="149" t="s">
        <v>96</v>
      </c>
      <c r="M29" s="149" t="s">
        <v>304</v>
      </c>
      <c r="N29" s="150">
        <v>1.38191</v>
      </c>
      <c r="O29" s="115">
        <f t="shared" si="0"/>
        <v>0.41180918</v>
      </c>
    </row>
    <row r="30" spans="2:15">
      <c r="B30" s="149" t="s">
        <v>297</v>
      </c>
      <c r="C30" s="149" t="s">
        <v>298</v>
      </c>
      <c r="D30" s="149" t="s">
        <v>312</v>
      </c>
      <c r="E30" s="149" t="s">
        <v>112</v>
      </c>
      <c r="F30" s="149" t="s">
        <v>299</v>
      </c>
      <c r="G30" s="149" t="s">
        <v>305</v>
      </c>
      <c r="H30" s="149" t="s">
        <v>106</v>
      </c>
      <c r="I30" s="149" t="s">
        <v>402</v>
      </c>
      <c r="J30" s="149" t="s">
        <v>403</v>
      </c>
      <c r="K30" s="149" t="s">
        <v>404</v>
      </c>
      <c r="L30" s="149" t="s">
        <v>96</v>
      </c>
      <c r="M30" s="149" t="s">
        <v>304</v>
      </c>
      <c r="N30" s="150">
        <v>6.8720000000000003E-2</v>
      </c>
      <c r="O30" s="115">
        <f t="shared" si="0"/>
        <v>2.0478560000000003E-2</v>
      </c>
    </row>
    <row r="31" spans="2:15">
      <c r="B31" s="149" t="s">
        <v>297</v>
      </c>
      <c r="C31" s="149" t="s">
        <v>298</v>
      </c>
      <c r="D31" s="149" t="s">
        <v>39</v>
      </c>
      <c r="E31" s="149" t="s">
        <v>64</v>
      </c>
      <c r="F31" s="149" t="s">
        <v>299</v>
      </c>
      <c r="G31" s="149" t="s">
        <v>305</v>
      </c>
      <c r="H31" s="149" t="s">
        <v>95</v>
      </c>
      <c r="I31" s="149" t="s">
        <v>402</v>
      </c>
      <c r="J31" s="149" t="s">
        <v>403</v>
      </c>
      <c r="K31" s="149" t="s">
        <v>404</v>
      </c>
      <c r="L31" s="149" t="s">
        <v>21</v>
      </c>
      <c r="M31" s="149" t="s">
        <v>304</v>
      </c>
      <c r="N31" s="150">
        <v>0</v>
      </c>
      <c r="O31" s="115">
        <f t="shared" si="0"/>
        <v>0</v>
      </c>
    </row>
    <row r="32" spans="2:15">
      <c r="B32" s="149" t="s">
        <v>297</v>
      </c>
      <c r="C32" s="149" t="s">
        <v>298</v>
      </c>
      <c r="D32" s="149" t="s">
        <v>34</v>
      </c>
      <c r="E32" s="149" t="s">
        <v>62</v>
      </c>
      <c r="F32" s="149" t="s">
        <v>299</v>
      </c>
      <c r="G32" s="149" t="s">
        <v>305</v>
      </c>
      <c r="H32" s="149" t="s">
        <v>95</v>
      </c>
      <c r="I32" s="149" t="s">
        <v>402</v>
      </c>
      <c r="J32" s="149" t="s">
        <v>403</v>
      </c>
      <c r="K32" s="149" t="s">
        <v>404</v>
      </c>
      <c r="L32" s="149" t="s">
        <v>96</v>
      </c>
      <c r="M32" s="149" t="s">
        <v>304</v>
      </c>
      <c r="N32" s="150">
        <v>2.13672</v>
      </c>
      <c r="O32" s="115">
        <f t="shared" si="0"/>
        <v>0.63674256000000007</v>
      </c>
    </row>
    <row r="33" spans="2:15">
      <c r="B33" s="149" t="s">
        <v>297</v>
      </c>
      <c r="C33" s="149" t="s">
        <v>298</v>
      </c>
      <c r="D33" s="149" t="s">
        <v>33</v>
      </c>
      <c r="E33" s="149" t="s">
        <v>65</v>
      </c>
      <c r="F33" s="149" t="s">
        <v>299</v>
      </c>
      <c r="G33" s="149" t="s">
        <v>305</v>
      </c>
      <c r="H33" s="149" t="s">
        <v>101</v>
      </c>
      <c r="I33" s="149" t="s">
        <v>402</v>
      </c>
      <c r="J33" s="149" t="s">
        <v>403</v>
      </c>
      <c r="K33" s="149" t="s">
        <v>404</v>
      </c>
      <c r="L33" s="149" t="s">
        <v>96</v>
      </c>
      <c r="M33" s="149" t="s">
        <v>304</v>
      </c>
      <c r="N33" s="150">
        <v>3.4340000000000002E-2</v>
      </c>
      <c r="O33" s="115">
        <f t="shared" si="0"/>
        <v>1.0233320000000001E-2</v>
      </c>
    </row>
    <row r="34" spans="2:15">
      <c r="B34" s="149" t="s">
        <v>297</v>
      </c>
      <c r="C34" s="149" t="s">
        <v>298</v>
      </c>
      <c r="D34" s="149" t="s">
        <v>37</v>
      </c>
      <c r="E34" s="149" t="s">
        <v>113</v>
      </c>
      <c r="F34" s="149" t="s">
        <v>299</v>
      </c>
      <c r="G34" s="149" t="s">
        <v>305</v>
      </c>
      <c r="H34" s="149" t="s">
        <v>106</v>
      </c>
      <c r="I34" s="149" t="s">
        <v>402</v>
      </c>
      <c r="J34" s="149" t="s">
        <v>403</v>
      </c>
      <c r="K34" s="149" t="s">
        <v>404</v>
      </c>
      <c r="L34" s="149" t="s">
        <v>96</v>
      </c>
      <c r="M34" s="149" t="s">
        <v>304</v>
      </c>
      <c r="N34" s="150">
        <v>0.57294999999999996</v>
      </c>
      <c r="O34" s="115">
        <f t="shared" si="0"/>
        <v>0.17073909999999998</v>
      </c>
    </row>
    <row r="35" spans="2:15">
      <c r="B35" s="149" t="s">
        <v>297</v>
      </c>
      <c r="C35" s="149" t="s">
        <v>298</v>
      </c>
      <c r="D35" s="149" t="s">
        <v>33</v>
      </c>
      <c r="E35" s="149" t="s">
        <v>65</v>
      </c>
      <c r="F35" s="149" t="s">
        <v>299</v>
      </c>
      <c r="G35" s="149" t="s">
        <v>305</v>
      </c>
      <c r="H35" s="149" t="s">
        <v>95</v>
      </c>
      <c r="I35" s="149" t="s">
        <v>402</v>
      </c>
      <c r="J35" s="149" t="s">
        <v>403</v>
      </c>
      <c r="K35" s="149" t="s">
        <v>404</v>
      </c>
      <c r="L35" s="149" t="s">
        <v>96</v>
      </c>
      <c r="M35" s="149" t="s">
        <v>304</v>
      </c>
      <c r="N35" s="150">
        <v>5.593</v>
      </c>
      <c r="O35" s="115">
        <f t="shared" si="0"/>
        <v>1.666714</v>
      </c>
    </row>
    <row r="36" spans="2:15">
      <c r="B36" s="149" t="s">
        <v>297</v>
      </c>
      <c r="C36" s="149" t="s">
        <v>298</v>
      </c>
      <c r="D36" s="149" t="s">
        <v>308</v>
      </c>
      <c r="E36" s="149" t="s">
        <v>309</v>
      </c>
      <c r="F36" s="149" t="s">
        <v>299</v>
      </c>
      <c r="G36" s="149" t="s">
        <v>305</v>
      </c>
      <c r="H36" s="149" t="s">
        <v>106</v>
      </c>
      <c r="I36" s="149" t="s">
        <v>402</v>
      </c>
      <c r="J36" s="149" t="s">
        <v>403</v>
      </c>
      <c r="K36" s="149" t="s">
        <v>404</v>
      </c>
      <c r="L36" s="149" t="s">
        <v>96</v>
      </c>
      <c r="M36" s="149" t="s">
        <v>304</v>
      </c>
      <c r="N36" s="150">
        <v>14.89823</v>
      </c>
      <c r="O36" s="115">
        <f t="shared" si="0"/>
        <v>4.4396725399999992</v>
      </c>
    </row>
    <row r="37" spans="2:15">
      <c r="B37" s="149" t="s">
        <v>297</v>
      </c>
      <c r="C37" s="149" t="s">
        <v>298</v>
      </c>
      <c r="D37" s="149" t="s">
        <v>308</v>
      </c>
      <c r="E37" s="149" t="s">
        <v>309</v>
      </c>
      <c r="F37" s="149" t="s">
        <v>299</v>
      </c>
      <c r="G37" s="149" t="s">
        <v>305</v>
      </c>
      <c r="H37" s="149" t="s">
        <v>95</v>
      </c>
      <c r="I37" s="149" t="s">
        <v>402</v>
      </c>
      <c r="J37" s="149" t="s">
        <v>403</v>
      </c>
      <c r="K37" s="149" t="s">
        <v>404</v>
      </c>
      <c r="L37" s="149" t="s">
        <v>96</v>
      </c>
      <c r="M37" s="149" t="s">
        <v>304</v>
      </c>
      <c r="N37" s="150">
        <v>135.62352000000001</v>
      </c>
      <c r="O37" s="115">
        <f t="shared" si="0"/>
        <v>40.41580896</v>
      </c>
    </row>
    <row r="38" spans="2:15">
      <c r="B38" s="149" t="s">
        <v>297</v>
      </c>
      <c r="C38" s="149" t="s">
        <v>298</v>
      </c>
      <c r="D38" s="149" t="s">
        <v>32</v>
      </c>
      <c r="E38" s="149" t="s">
        <v>111</v>
      </c>
      <c r="F38" s="149" t="s">
        <v>299</v>
      </c>
      <c r="G38" s="149" t="s">
        <v>305</v>
      </c>
      <c r="H38" s="149" t="s">
        <v>95</v>
      </c>
      <c r="I38" s="149" t="s">
        <v>402</v>
      </c>
      <c r="J38" s="149" t="s">
        <v>403</v>
      </c>
      <c r="K38" s="149" t="s">
        <v>404</v>
      </c>
      <c r="L38" s="149" t="s">
        <v>21</v>
      </c>
      <c r="M38" s="149" t="s">
        <v>304</v>
      </c>
      <c r="N38" s="150">
        <v>0</v>
      </c>
      <c r="O38" s="115">
        <f t="shared" si="0"/>
        <v>0</v>
      </c>
    </row>
    <row r="39" spans="2:15">
      <c r="B39" s="149" t="s">
        <v>297</v>
      </c>
      <c r="C39" s="149" t="s">
        <v>298</v>
      </c>
      <c r="D39" s="149" t="s">
        <v>32</v>
      </c>
      <c r="E39" s="149" t="s">
        <v>111</v>
      </c>
      <c r="F39" s="149" t="s">
        <v>299</v>
      </c>
      <c r="G39" s="149" t="s">
        <v>305</v>
      </c>
      <c r="H39" s="149" t="s">
        <v>101</v>
      </c>
      <c r="I39" s="149" t="s">
        <v>402</v>
      </c>
      <c r="J39" s="149" t="s">
        <v>403</v>
      </c>
      <c r="K39" s="149" t="s">
        <v>404</v>
      </c>
      <c r="L39" s="149" t="s">
        <v>21</v>
      </c>
      <c r="M39" s="149" t="s">
        <v>304</v>
      </c>
      <c r="N39" s="150">
        <v>0</v>
      </c>
      <c r="O39" s="115">
        <f t="shared" si="0"/>
        <v>0</v>
      </c>
    </row>
    <row r="40" spans="2:15">
      <c r="B40" s="149" t="s">
        <v>297</v>
      </c>
      <c r="C40" s="149" t="s">
        <v>298</v>
      </c>
      <c r="D40" s="149" t="s">
        <v>32</v>
      </c>
      <c r="E40" s="149" t="s">
        <v>111</v>
      </c>
      <c r="F40" s="149" t="s">
        <v>299</v>
      </c>
      <c r="G40" s="149" t="s">
        <v>305</v>
      </c>
      <c r="H40" s="149" t="s">
        <v>106</v>
      </c>
      <c r="I40" s="149" t="s">
        <v>402</v>
      </c>
      <c r="J40" s="149" t="s">
        <v>403</v>
      </c>
      <c r="K40" s="149" t="s">
        <v>404</v>
      </c>
      <c r="L40" s="149" t="s">
        <v>21</v>
      </c>
      <c r="M40" s="149" t="s">
        <v>304</v>
      </c>
      <c r="N40" s="150">
        <v>0</v>
      </c>
      <c r="O40" s="115">
        <f t="shared" si="0"/>
        <v>0</v>
      </c>
    </row>
    <row r="41" spans="2:15">
      <c r="B41" s="149" t="s">
        <v>297</v>
      </c>
      <c r="C41" s="149" t="s">
        <v>298</v>
      </c>
      <c r="D41" s="149" t="s">
        <v>31</v>
      </c>
      <c r="E41" s="149" t="s">
        <v>124</v>
      </c>
      <c r="F41" s="149" t="s">
        <v>299</v>
      </c>
      <c r="G41" s="149" t="s">
        <v>305</v>
      </c>
      <c r="H41" s="149" t="s">
        <v>101</v>
      </c>
      <c r="I41" s="149" t="s">
        <v>402</v>
      </c>
      <c r="J41" s="149" t="s">
        <v>403</v>
      </c>
      <c r="K41" s="149" t="s">
        <v>404</v>
      </c>
      <c r="L41" s="149" t="s">
        <v>21</v>
      </c>
      <c r="M41" s="149" t="s">
        <v>304</v>
      </c>
      <c r="N41" s="150">
        <v>0</v>
      </c>
      <c r="O41" s="115">
        <f t="shared" si="0"/>
        <v>0</v>
      </c>
    </row>
    <row r="42" spans="2:15">
      <c r="B42" s="149" t="s">
        <v>297</v>
      </c>
      <c r="C42" s="149" t="s">
        <v>298</v>
      </c>
      <c r="D42" s="149" t="s">
        <v>310</v>
      </c>
      <c r="E42" s="149" t="s">
        <v>311</v>
      </c>
      <c r="F42" s="149" t="s">
        <v>299</v>
      </c>
      <c r="G42" s="149" t="s">
        <v>305</v>
      </c>
      <c r="H42" s="149" t="s">
        <v>95</v>
      </c>
      <c r="I42" s="149" t="s">
        <v>402</v>
      </c>
      <c r="J42" s="149" t="s">
        <v>403</v>
      </c>
      <c r="K42" s="149" t="s">
        <v>404</v>
      </c>
      <c r="L42" s="149" t="s">
        <v>96</v>
      </c>
      <c r="M42" s="149" t="s">
        <v>304</v>
      </c>
      <c r="N42" s="150">
        <v>135.62352000000001</v>
      </c>
      <c r="O42" s="115">
        <f t="shared" si="0"/>
        <v>40.41580896</v>
      </c>
    </row>
    <row r="43" spans="2:15">
      <c r="B43" s="149" t="s">
        <v>297</v>
      </c>
      <c r="C43" s="149" t="s">
        <v>298</v>
      </c>
      <c r="D43" s="149" t="s">
        <v>30</v>
      </c>
      <c r="E43" s="149" t="s">
        <v>115</v>
      </c>
      <c r="F43" s="149" t="s">
        <v>299</v>
      </c>
      <c r="G43" s="149" t="s">
        <v>305</v>
      </c>
      <c r="H43" s="149" t="s">
        <v>95</v>
      </c>
      <c r="I43" s="149" t="s">
        <v>402</v>
      </c>
      <c r="J43" s="149" t="s">
        <v>403</v>
      </c>
      <c r="K43" s="149" t="s">
        <v>404</v>
      </c>
      <c r="L43" s="149" t="s">
        <v>96</v>
      </c>
      <c r="M43" s="149" t="s">
        <v>304</v>
      </c>
      <c r="N43" s="150">
        <v>5.4440999999999997</v>
      </c>
      <c r="O43" s="115">
        <f t="shared" si="0"/>
        <v>1.6223417999999998</v>
      </c>
    </row>
    <row r="44" spans="2:15">
      <c r="B44" s="149" t="s">
        <v>297</v>
      </c>
      <c r="C44" s="149" t="s">
        <v>298</v>
      </c>
      <c r="D44" s="149" t="s">
        <v>28</v>
      </c>
      <c r="E44" s="149" t="s">
        <v>67</v>
      </c>
      <c r="F44" s="149" t="s">
        <v>299</v>
      </c>
      <c r="G44" s="149" t="s">
        <v>305</v>
      </c>
      <c r="H44" s="149" t="s">
        <v>95</v>
      </c>
      <c r="I44" s="149" t="s">
        <v>402</v>
      </c>
      <c r="J44" s="149" t="s">
        <v>403</v>
      </c>
      <c r="K44" s="149" t="s">
        <v>404</v>
      </c>
      <c r="L44" s="149" t="s">
        <v>96</v>
      </c>
      <c r="M44" s="149" t="s">
        <v>304</v>
      </c>
      <c r="N44" s="150">
        <v>7.7862499999999999</v>
      </c>
      <c r="O44" s="115">
        <f t="shared" si="0"/>
        <v>2.3203024999999999</v>
      </c>
    </row>
    <row r="45" spans="2:15">
      <c r="B45" s="149" t="s">
        <v>297</v>
      </c>
      <c r="C45" s="149" t="s">
        <v>298</v>
      </c>
      <c r="D45" s="149" t="s">
        <v>313</v>
      </c>
      <c r="E45" s="149" t="s">
        <v>143</v>
      </c>
      <c r="F45" s="149" t="s">
        <v>299</v>
      </c>
      <c r="G45" s="149" t="s">
        <v>305</v>
      </c>
      <c r="H45" s="149" t="s">
        <v>106</v>
      </c>
      <c r="I45" s="149" t="s">
        <v>402</v>
      </c>
      <c r="J45" s="149" t="s">
        <v>403</v>
      </c>
      <c r="K45" s="149" t="s">
        <v>404</v>
      </c>
      <c r="L45" s="149" t="s">
        <v>21</v>
      </c>
      <c r="M45" s="149" t="s">
        <v>304</v>
      </c>
      <c r="N45" s="150">
        <v>0</v>
      </c>
      <c r="O45" s="115">
        <f t="shared" si="0"/>
        <v>0</v>
      </c>
    </row>
    <row r="46" spans="2:15">
      <c r="B46" s="149" t="s">
        <v>297</v>
      </c>
      <c r="C46" s="149" t="s">
        <v>298</v>
      </c>
      <c r="D46" s="149" t="s">
        <v>28</v>
      </c>
      <c r="E46" s="149" t="s">
        <v>67</v>
      </c>
      <c r="F46" s="149" t="s">
        <v>299</v>
      </c>
      <c r="G46" s="149" t="s">
        <v>305</v>
      </c>
      <c r="H46" s="149" t="s">
        <v>106</v>
      </c>
      <c r="I46" s="149" t="s">
        <v>402</v>
      </c>
      <c r="J46" s="149" t="s">
        <v>403</v>
      </c>
      <c r="K46" s="149" t="s">
        <v>404</v>
      </c>
      <c r="L46" s="149" t="s">
        <v>96</v>
      </c>
      <c r="M46" s="149" t="s">
        <v>304</v>
      </c>
      <c r="N46" s="150">
        <v>0.86541000000000001</v>
      </c>
      <c r="O46" s="115">
        <f t="shared" si="0"/>
        <v>0.25789217999999997</v>
      </c>
    </row>
    <row r="47" spans="2:15">
      <c r="B47" s="149" t="s">
        <v>297</v>
      </c>
      <c r="C47" s="149" t="s">
        <v>298</v>
      </c>
      <c r="D47" s="149" t="s">
        <v>27</v>
      </c>
      <c r="E47" s="149" t="s">
        <v>117</v>
      </c>
      <c r="F47" s="149" t="s">
        <v>299</v>
      </c>
      <c r="G47" s="149" t="s">
        <v>305</v>
      </c>
      <c r="H47" s="149" t="s">
        <v>106</v>
      </c>
      <c r="I47" s="149" t="s">
        <v>402</v>
      </c>
      <c r="J47" s="149" t="s">
        <v>403</v>
      </c>
      <c r="K47" s="149" t="s">
        <v>404</v>
      </c>
      <c r="L47" s="149" t="s">
        <v>21</v>
      </c>
      <c r="M47" s="149" t="s">
        <v>304</v>
      </c>
      <c r="N47" s="150">
        <v>0</v>
      </c>
      <c r="O47" s="115">
        <f t="shared" si="0"/>
        <v>0</v>
      </c>
    </row>
    <row r="48" spans="2:15">
      <c r="B48" s="149" t="s">
        <v>297</v>
      </c>
      <c r="C48" s="149" t="s">
        <v>298</v>
      </c>
      <c r="D48" s="149" t="s">
        <v>27</v>
      </c>
      <c r="E48" s="149" t="s">
        <v>117</v>
      </c>
      <c r="F48" s="149" t="s">
        <v>299</v>
      </c>
      <c r="G48" s="149" t="s">
        <v>305</v>
      </c>
      <c r="H48" s="149" t="s">
        <v>95</v>
      </c>
      <c r="I48" s="149" t="s">
        <v>402</v>
      </c>
      <c r="J48" s="149" t="s">
        <v>403</v>
      </c>
      <c r="K48" s="149" t="s">
        <v>404</v>
      </c>
      <c r="L48" s="149" t="s">
        <v>21</v>
      </c>
      <c r="M48" s="149" t="s">
        <v>304</v>
      </c>
      <c r="N48" s="150">
        <v>0</v>
      </c>
      <c r="O48" s="115">
        <f t="shared" si="0"/>
        <v>0</v>
      </c>
    </row>
    <row r="49" spans="2:15">
      <c r="B49" s="149" t="s">
        <v>297</v>
      </c>
      <c r="C49" s="149" t="s">
        <v>298</v>
      </c>
      <c r="D49" s="149" t="s">
        <v>34</v>
      </c>
      <c r="E49" s="149" t="s">
        <v>62</v>
      </c>
      <c r="F49" s="149" t="s">
        <v>299</v>
      </c>
      <c r="G49" s="149" t="s">
        <v>305</v>
      </c>
      <c r="H49" s="149" t="s">
        <v>101</v>
      </c>
      <c r="I49" s="149" t="s">
        <v>402</v>
      </c>
      <c r="J49" s="149" t="s">
        <v>403</v>
      </c>
      <c r="K49" s="149" t="s">
        <v>404</v>
      </c>
      <c r="L49" s="149" t="s">
        <v>96</v>
      </c>
      <c r="M49" s="149" t="s">
        <v>304</v>
      </c>
      <c r="N49" s="150">
        <v>2.5670999999999999</v>
      </c>
      <c r="O49" s="115">
        <f t="shared" si="0"/>
        <v>0.7649958</v>
      </c>
    </row>
    <row r="50" spans="2:15">
      <c r="B50" s="149" t="s">
        <v>297</v>
      </c>
      <c r="C50" s="149" t="s">
        <v>298</v>
      </c>
      <c r="D50" s="149" t="s">
        <v>26</v>
      </c>
      <c r="E50" s="149" t="s">
        <v>66</v>
      </c>
      <c r="F50" s="149" t="s">
        <v>299</v>
      </c>
      <c r="G50" s="149" t="s">
        <v>305</v>
      </c>
      <c r="H50" s="149" t="s">
        <v>101</v>
      </c>
      <c r="I50" s="149" t="s">
        <v>402</v>
      </c>
      <c r="J50" s="149" t="s">
        <v>403</v>
      </c>
      <c r="K50" s="149" t="s">
        <v>404</v>
      </c>
      <c r="L50" s="149" t="s">
        <v>21</v>
      </c>
      <c r="M50" s="149" t="s">
        <v>304</v>
      </c>
      <c r="N50" s="150">
        <v>0</v>
      </c>
      <c r="O50" s="115">
        <f t="shared" si="0"/>
        <v>0</v>
      </c>
    </row>
    <row r="51" spans="2:15">
      <c r="B51" s="149" t="s">
        <v>297</v>
      </c>
      <c r="C51" s="149" t="s">
        <v>298</v>
      </c>
      <c r="D51" s="149" t="s">
        <v>23</v>
      </c>
      <c r="E51" s="149" t="s">
        <v>118</v>
      </c>
      <c r="F51" s="149" t="s">
        <v>299</v>
      </c>
      <c r="G51" s="149" t="s">
        <v>305</v>
      </c>
      <c r="H51" s="149" t="s">
        <v>106</v>
      </c>
      <c r="I51" s="149" t="s">
        <v>402</v>
      </c>
      <c r="J51" s="149" t="s">
        <v>403</v>
      </c>
      <c r="K51" s="149" t="s">
        <v>404</v>
      </c>
      <c r="L51" s="149" t="s">
        <v>21</v>
      </c>
      <c r="M51" s="149" t="s">
        <v>304</v>
      </c>
      <c r="N51" s="150">
        <v>0</v>
      </c>
      <c r="O51" s="115">
        <f t="shared" si="0"/>
        <v>0</v>
      </c>
    </row>
    <row r="52" spans="2:15">
      <c r="B52" s="149" t="s">
        <v>297</v>
      </c>
      <c r="C52" s="149" t="s">
        <v>298</v>
      </c>
      <c r="D52" s="149" t="s">
        <v>23</v>
      </c>
      <c r="E52" s="149" t="s">
        <v>118</v>
      </c>
      <c r="F52" s="149" t="s">
        <v>299</v>
      </c>
      <c r="G52" s="149" t="s">
        <v>305</v>
      </c>
      <c r="H52" s="149" t="s">
        <v>95</v>
      </c>
      <c r="I52" s="149" t="s">
        <v>402</v>
      </c>
      <c r="J52" s="149" t="s">
        <v>403</v>
      </c>
      <c r="K52" s="149" t="s">
        <v>404</v>
      </c>
      <c r="L52" s="149" t="s">
        <v>21</v>
      </c>
      <c r="M52" s="149" t="s">
        <v>304</v>
      </c>
      <c r="N52" s="150">
        <v>0</v>
      </c>
      <c r="O52" s="115">
        <f t="shared" si="0"/>
        <v>0</v>
      </c>
    </row>
    <row r="53" spans="2:15">
      <c r="B53" s="149" t="s">
        <v>297</v>
      </c>
      <c r="C53" s="149" t="s">
        <v>298</v>
      </c>
      <c r="D53" s="149" t="s">
        <v>23</v>
      </c>
      <c r="E53" s="149" t="s">
        <v>118</v>
      </c>
      <c r="F53" s="149" t="s">
        <v>299</v>
      </c>
      <c r="G53" s="149" t="s">
        <v>305</v>
      </c>
      <c r="H53" s="149" t="s">
        <v>101</v>
      </c>
      <c r="I53" s="149" t="s">
        <v>402</v>
      </c>
      <c r="J53" s="149" t="s">
        <v>403</v>
      </c>
      <c r="K53" s="149" t="s">
        <v>404</v>
      </c>
      <c r="L53" s="149" t="s">
        <v>21</v>
      </c>
      <c r="M53" s="149" t="s">
        <v>304</v>
      </c>
      <c r="N53" s="150">
        <v>0</v>
      </c>
      <c r="O53" s="115">
        <f t="shared" si="0"/>
        <v>0</v>
      </c>
    </row>
    <row r="54" spans="2:15">
      <c r="B54" s="149" t="s">
        <v>297</v>
      </c>
      <c r="C54" s="149" t="s">
        <v>298</v>
      </c>
      <c r="D54" s="149" t="s">
        <v>22</v>
      </c>
      <c r="E54" s="149" t="s">
        <v>119</v>
      </c>
      <c r="F54" s="149" t="s">
        <v>299</v>
      </c>
      <c r="G54" s="149" t="s">
        <v>305</v>
      </c>
      <c r="H54" s="149" t="s">
        <v>95</v>
      </c>
      <c r="I54" s="149" t="s">
        <v>402</v>
      </c>
      <c r="J54" s="149" t="s">
        <v>403</v>
      </c>
      <c r="K54" s="149" t="s">
        <v>404</v>
      </c>
      <c r="L54" s="149" t="s">
        <v>96</v>
      </c>
      <c r="M54" s="149" t="s">
        <v>304</v>
      </c>
      <c r="N54" s="150">
        <v>18.254000000000001</v>
      </c>
      <c r="O54" s="115">
        <f t="shared" si="0"/>
        <v>5.439692</v>
      </c>
    </row>
    <row r="55" spans="2:15">
      <c r="B55" s="149" t="s">
        <v>297</v>
      </c>
      <c r="C55" s="149" t="s">
        <v>298</v>
      </c>
      <c r="D55" s="149" t="s">
        <v>21</v>
      </c>
      <c r="E55" s="149" t="s">
        <v>126</v>
      </c>
      <c r="F55" s="149" t="s">
        <v>299</v>
      </c>
      <c r="G55" s="149" t="s">
        <v>305</v>
      </c>
      <c r="H55" s="149" t="s">
        <v>101</v>
      </c>
      <c r="I55" s="149" t="s">
        <v>402</v>
      </c>
      <c r="J55" s="149" t="s">
        <v>403</v>
      </c>
      <c r="K55" s="149" t="s">
        <v>404</v>
      </c>
      <c r="L55" s="149" t="s">
        <v>96</v>
      </c>
      <c r="M55" s="149" t="s">
        <v>304</v>
      </c>
      <c r="N55" s="150">
        <v>1.14707</v>
      </c>
      <c r="O55" s="115">
        <f t="shared" si="0"/>
        <v>0.34182686000000001</v>
      </c>
    </row>
    <row r="56" spans="2:15">
      <c r="B56" s="149" t="s">
        <v>297</v>
      </c>
      <c r="C56" s="149" t="s">
        <v>298</v>
      </c>
      <c r="D56" s="149" t="s">
        <v>30</v>
      </c>
      <c r="E56" s="149" t="s">
        <v>115</v>
      </c>
      <c r="F56" s="149" t="s">
        <v>299</v>
      </c>
      <c r="G56" s="149" t="s">
        <v>305</v>
      </c>
      <c r="H56" s="149" t="s">
        <v>101</v>
      </c>
      <c r="I56" s="149" t="s">
        <v>402</v>
      </c>
      <c r="J56" s="149" t="s">
        <v>403</v>
      </c>
      <c r="K56" s="149" t="s">
        <v>404</v>
      </c>
      <c r="L56" s="149" t="s">
        <v>96</v>
      </c>
      <c r="M56" s="149" t="s">
        <v>304</v>
      </c>
      <c r="N56" s="150">
        <v>0.50560000000000005</v>
      </c>
      <c r="O56" s="115">
        <f t="shared" si="0"/>
        <v>0.15066879999999999</v>
      </c>
    </row>
    <row r="57" spans="2:15">
      <c r="B57" s="149" t="s">
        <v>297</v>
      </c>
      <c r="C57" s="149" t="s">
        <v>298</v>
      </c>
      <c r="D57" s="149" t="s">
        <v>30</v>
      </c>
      <c r="E57" s="149" t="s">
        <v>115</v>
      </c>
      <c r="F57" s="149" t="s">
        <v>299</v>
      </c>
      <c r="G57" s="149" t="s">
        <v>305</v>
      </c>
      <c r="H57" s="149" t="s">
        <v>106</v>
      </c>
      <c r="I57" s="149" t="s">
        <v>402</v>
      </c>
      <c r="J57" s="149" t="s">
        <v>403</v>
      </c>
      <c r="K57" s="149" t="s">
        <v>404</v>
      </c>
      <c r="L57" s="149" t="s">
        <v>96</v>
      </c>
      <c r="M57" s="149" t="s">
        <v>304</v>
      </c>
      <c r="N57" s="150">
        <v>0.11949</v>
      </c>
      <c r="O57" s="115">
        <f t="shared" si="0"/>
        <v>3.5608019999999997E-2</v>
      </c>
    </row>
    <row r="58" spans="2:15">
      <c r="B58" s="149" t="s">
        <v>297</v>
      </c>
      <c r="C58" s="149" t="s">
        <v>298</v>
      </c>
      <c r="D58" s="149" t="s">
        <v>20</v>
      </c>
      <c r="E58" s="149" t="s">
        <v>68</v>
      </c>
      <c r="F58" s="149" t="s">
        <v>299</v>
      </c>
      <c r="G58" s="149" t="s">
        <v>305</v>
      </c>
      <c r="H58" s="149" t="s">
        <v>95</v>
      </c>
      <c r="I58" s="149" t="s">
        <v>402</v>
      </c>
      <c r="J58" s="149" t="s">
        <v>403</v>
      </c>
      <c r="K58" s="149" t="s">
        <v>404</v>
      </c>
      <c r="L58" s="149" t="s">
        <v>96</v>
      </c>
      <c r="M58" s="149" t="s">
        <v>304</v>
      </c>
      <c r="N58" s="150">
        <v>14.108599999999999</v>
      </c>
      <c r="O58" s="115">
        <f t="shared" si="0"/>
        <v>4.2043628000000002</v>
      </c>
    </row>
    <row r="59" spans="2:15">
      <c r="B59" s="149" t="s">
        <v>297</v>
      </c>
      <c r="C59" s="149" t="s">
        <v>298</v>
      </c>
      <c r="D59" s="149" t="s">
        <v>20</v>
      </c>
      <c r="E59" s="149" t="s">
        <v>68</v>
      </c>
      <c r="F59" s="149" t="s">
        <v>299</v>
      </c>
      <c r="G59" s="149" t="s">
        <v>305</v>
      </c>
      <c r="H59" s="149" t="s">
        <v>101</v>
      </c>
      <c r="I59" s="149" t="s">
        <v>402</v>
      </c>
      <c r="J59" s="149" t="s">
        <v>403</v>
      </c>
      <c r="K59" s="149" t="s">
        <v>404</v>
      </c>
      <c r="L59" s="149" t="s">
        <v>96</v>
      </c>
      <c r="M59" s="149" t="s">
        <v>304</v>
      </c>
      <c r="N59" s="150">
        <v>2.95722</v>
      </c>
      <c r="O59" s="115">
        <f t="shared" si="0"/>
        <v>0.88125156000000004</v>
      </c>
    </row>
    <row r="60" spans="2:15">
      <c r="B60" s="149" t="s">
        <v>297</v>
      </c>
      <c r="C60" s="149" t="s">
        <v>298</v>
      </c>
      <c r="D60" s="149" t="s">
        <v>313</v>
      </c>
      <c r="E60" s="149" t="s">
        <v>143</v>
      </c>
      <c r="F60" s="149" t="s">
        <v>299</v>
      </c>
      <c r="G60" s="149" t="s">
        <v>305</v>
      </c>
      <c r="H60" s="149" t="s">
        <v>95</v>
      </c>
      <c r="I60" s="149" t="s">
        <v>402</v>
      </c>
      <c r="J60" s="149" t="s">
        <v>403</v>
      </c>
      <c r="K60" s="149" t="s">
        <v>404</v>
      </c>
      <c r="L60" s="149" t="s">
        <v>21</v>
      </c>
      <c r="M60" s="149" t="s">
        <v>304</v>
      </c>
      <c r="N60" s="150">
        <v>0</v>
      </c>
      <c r="O60" s="115">
        <f t="shared" si="0"/>
        <v>0</v>
      </c>
    </row>
    <row r="61" spans="2:15">
      <c r="B61" s="149" t="s">
        <v>297</v>
      </c>
      <c r="C61" s="149" t="s">
        <v>298</v>
      </c>
      <c r="D61" s="149" t="s">
        <v>20</v>
      </c>
      <c r="E61" s="149" t="s">
        <v>68</v>
      </c>
      <c r="F61" s="149" t="s">
        <v>299</v>
      </c>
      <c r="G61" s="149" t="s">
        <v>305</v>
      </c>
      <c r="H61" s="149" t="s">
        <v>106</v>
      </c>
      <c r="I61" s="149" t="s">
        <v>402</v>
      </c>
      <c r="J61" s="149" t="s">
        <v>403</v>
      </c>
      <c r="K61" s="149" t="s">
        <v>404</v>
      </c>
      <c r="L61" s="149" t="s">
        <v>96</v>
      </c>
      <c r="M61" s="149" t="s">
        <v>304</v>
      </c>
      <c r="N61" s="150">
        <v>1.73359</v>
      </c>
      <c r="O61" s="115">
        <f t="shared" si="0"/>
        <v>0.51660982</v>
      </c>
    </row>
    <row r="62" spans="2:15">
      <c r="B62" s="149" t="s">
        <v>297</v>
      </c>
      <c r="C62" s="149" t="s">
        <v>298</v>
      </c>
      <c r="D62" s="149" t="s">
        <v>19</v>
      </c>
      <c r="E62" s="149" t="s">
        <v>69</v>
      </c>
      <c r="F62" s="149" t="s">
        <v>299</v>
      </c>
      <c r="G62" s="149" t="s">
        <v>305</v>
      </c>
      <c r="H62" s="149" t="s">
        <v>95</v>
      </c>
      <c r="I62" s="149" t="s">
        <v>402</v>
      </c>
      <c r="J62" s="149" t="s">
        <v>403</v>
      </c>
      <c r="K62" s="149" t="s">
        <v>404</v>
      </c>
      <c r="L62" s="149" t="s">
        <v>96</v>
      </c>
      <c r="M62" s="149" t="s">
        <v>304</v>
      </c>
      <c r="N62" s="150">
        <v>1.8084</v>
      </c>
      <c r="O62" s="115">
        <f t="shared" si="0"/>
        <v>0.53890319999999992</v>
      </c>
    </row>
    <row r="63" spans="2:15">
      <c r="B63" s="149" t="s">
        <v>297</v>
      </c>
      <c r="C63" s="149" t="s">
        <v>298</v>
      </c>
      <c r="D63" s="149" t="s">
        <v>19</v>
      </c>
      <c r="E63" s="149" t="s">
        <v>69</v>
      </c>
      <c r="F63" s="149" t="s">
        <v>299</v>
      </c>
      <c r="G63" s="149" t="s">
        <v>305</v>
      </c>
      <c r="H63" s="149" t="s">
        <v>101</v>
      </c>
      <c r="I63" s="149" t="s">
        <v>402</v>
      </c>
      <c r="J63" s="149" t="s">
        <v>403</v>
      </c>
      <c r="K63" s="149" t="s">
        <v>404</v>
      </c>
      <c r="L63" s="149" t="s">
        <v>96</v>
      </c>
      <c r="M63" s="149" t="s">
        <v>304</v>
      </c>
      <c r="N63" s="150">
        <v>0.95621999999999996</v>
      </c>
      <c r="O63" s="115">
        <f t="shared" si="0"/>
        <v>0.28495355999999999</v>
      </c>
    </row>
    <row r="64" spans="2:15">
      <c r="B64" s="149" t="s">
        <v>297</v>
      </c>
      <c r="C64" s="149" t="s">
        <v>298</v>
      </c>
      <c r="D64" s="149" t="s">
        <v>16</v>
      </c>
      <c r="E64" s="149" t="s">
        <v>122</v>
      </c>
      <c r="F64" s="149" t="s">
        <v>299</v>
      </c>
      <c r="G64" s="149" t="s">
        <v>305</v>
      </c>
      <c r="H64" s="149" t="s">
        <v>95</v>
      </c>
      <c r="I64" s="149" t="s">
        <v>402</v>
      </c>
      <c r="J64" s="149" t="s">
        <v>403</v>
      </c>
      <c r="K64" s="149" t="s">
        <v>404</v>
      </c>
      <c r="L64" s="149" t="s">
        <v>96</v>
      </c>
      <c r="M64" s="149" t="s">
        <v>304</v>
      </c>
      <c r="N64" s="150">
        <v>1.4184000000000001</v>
      </c>
      <c r="O64" s="115">
        <f t="shared" si="0"/>
        <v>0.42268320000000004</v>
      </c>
    </row>
    <row r="65" spans="2:15">
      <c r="B65" s="149" t="s">
        <v>297</v>
      </c>
      <c r="C65" s="149" t="s">
        <v>298</v>
      </c>
      <c r="D65" s="149" t="s">
        <v>18</v>
      </c>
      <c r="E65" s="149" t="s">
        <v>70</v>
      </c>
      <c r="F65" s="149" t="s">
        <v>299</v>
      </c>
      <c r="G65" s="149" t="s">
        <v>305</v>
      </c>
      <c r="H65" s="149" t="s">
        <v>106</v>
      </c>
      <c r="I65" s="149" t="s">
        <v>402</v>
      </c>
      <c r="J65" s="149" t="s">
        <v>403</v>
      </c>
      <c r="K65" s="149" t="s">
        <v>404</v>
      </c>
      <c r="L65" s="149" t="s">
        <v>96</v>
      </c>
      <c r="M65" s="149" t="s">
        <v>304</v>
      </c>
      <c r="N65" s="150">
        <v>1.1277699999999999</v>
      </c>
      <c r="O65" s="115">
        <f t="shared" si="0"/>
        <v>0.33607545999999994</v>
      </c>
    </row>
    <row r="66" spans="2:15">
      <c r="B66" s="149" t="s">
        <v>297</v>
      </c>
      <c r="C66" s="149" t="s">
        <v>298</v>
      </c>
      <c r="D66" s="149" t="s">
        <v>16</v>
      </c>
      <c r="E66" s="149" t="s">
        <v>122</v>
      </c>
      <c r="F66" s="149" t="s">
        <v>299</v>
      </c>
      <c r="G66" s="149" t="s">
        <v>305</v>
      </c>
      <c r="H66" s="149" t="s">
        <v>101</v>
      </c>
      <c r="I66" s="149" t="s">
        <v>402</v>
      </c>
      <c r="J66" s="149" t="s">
        <v>403</v>
      </c>
      <c r="K66" s="149" t="s">
        <v>404</v>
      </c>
      <c r="L66" s="149" t="s">
        <v>96</v>
      </c>
      <c r="M66" s="149" t="s">
        <v>304</v>
      </c>
      <c r="N66" s="150">
        <v>1.0069999999999999</v>
      </c>
      <c r="O66" s="115">
        <f t="shared" si="0"/>
        <v>0.30008599999999996</v>
      </c>
    </row>
    <row r="67" spans="2:15">
      <c r="B67" s="149" t="s">
        <v>297</v>
      </c>
      <c r="C67" s="149" t="s">
        <v>298</v>
      </c>
      <c r="D67" s="149" t="s">
        <v>14</v>
      </c>
      <c r="E67" s="149" t="s">
        <v>71</v>
      </c>
      <c r="F67" s="149" t="s">
        <v>299</v>
      </c>
      <c r="G67" s="149" t="s">
        <v>305</v>
      </c>
      <c r="H67" s="149" t="s">
        <v>95</v>
      </c>
      <c r="I67" s="149" t="s">
        <v>402</v>
      </c>
      <c r="J67" s="149" t="s">
        <v>403</v>
      </c>
      <c r="K67" s="149" t="s">
        <v>404</v>
      </c>
      <c r="L67" s="149" t="s">
        <v>96</v>
      </c>
      <c r="M67" s="149" t="s">
        <v>304</v>
      </c>
      <c r="N67" s="150">
        <v>4.1435700000000004</v>
      </c>
      <c r="O67" s="115">
        <f t="shared" si="0"/>
        <v>1.2347838600000003</v>
      </c>
    </row>
    <row r="68" spans="2:15">
      <c r="B68" s="149" t="s">
        <v>297</v>
      </c>
      <c r="C68" s="149" t="s">
        <v>298</v>
      </c>
      <c r="D68" s="149" t="s">
        <v>16</v>
      </c>
      <c r="E68" s="149" t="s">
        <v>122</v>
      </c>
      <c r="F68" s="149" t="s">
        <v>299</v>
      </c>
      <c r="G68" s="149" t="s">
        <v>305</v>
      </c>
      <c r="H68" s="149" t="s">
        <v>106</v>
      </c>
      <c r="I68" s="149" t="s">
        <v>402</v>
      </c>
      <c r="J68" s="149" t="s">
        <v>403</v>
      </c>
      <c r="K68" s="149" t="s">
        <v>404</v>
      </c>
      <c r="L68" s="149" t="s">
        <v>96</v>
      </c>
      <c r="M68" s="149" t="s">
        <v>304</v>
      </c>
      <c r="N68" s="150">
        <v>0.12071999999999999</v>
      </c>
      <c r="O68" s="115">
        <f t="shared" ref="O68:O131" si="1">IF(G68="CH4",N68*25,IF(G68="N2O",N68*298,N68))/1000</f>
        <v>3.5974559999999996E-2</v>
      </c>
    </row>
    <row r="69" spans="2:15">
      <c r="B69" s="149" t="s">
        <v>297</v>
      </c>
      <c r="C69" s="149" t="s">
        <v>298</v>
      </c>
      <c r="D69" s="149" t="s">
        <v>15</v>
      </c>
      <c r="E69" s="149" t="s">
        <v>72</v>
      </c>
      <c r="F69" s="149" t="s">
        <v>299</v>
      </c>
      <c r="G69" s="149" t="s">
        <v>305</v>
      </c>
      <c r="H69" s="149" t="s">
        <v>101</v>
      </c>
      <c r="I69" s="149" t="s">
        <v>402</v>
      </c>
      <c r="J69" s="149" t="s">
        <v>403</v>
      </c>
      <c r="K69" s="149" t="s">
        <v>404</v>
      </c>
      <c r="L69" s="149" t="s">
        <v>21</v>
      </c>
      <c r="M69" s="149" t="s">
        <v>304</v>
      </c>
      <c r="N69" s="150">
        <v>0</v>
      </c>
      <c r="O69" s="115">
        <f t="shared" si="1"/>
        <v>0</v>
      </c>
    </row>
    <row r="70" spans="2:15">
      <c r="B70" s="149" t="s">
        <v>297</v>
      </c>
      <c r="C70" s="149" t="s">
        <v>298</v>
      </c>
      <c r="D70" s="149" t="s">
        <v>22</v>
      </c>
      <c r="E70" s="149" t="s">
        <v>119</v>
      </c>
      <c r="F70" s="149" t="s">
        <v>299</v>
      </c>
      <c r="G70" s="149" t="s">
        <v>305</v>
      </c>
      <c r="H70" s="149" t="s">
        <v>101</v>
      </c>
      <c r="I70" s="149" t="s">
        <v>402</v>
      </c>
      <c r="J70" s="149" t="s">
        <v>403</v>
      </c>
      <c r="K70" s="149" t="s">
        <v>404</v>
      </c>
      <c r="L70" s="149" t="s">
        <v>96</v>
      </c>
      <c r="M70" s="149" t="s">
        <v>304</v>
      </c>
      <c r="N70" s="150">
        <v>0.97160000000000002</v>
      </c>
      <c r="O70" s="115">
        <f t="shared" si="1"/>
        <v>0.28953680000000004</v>
      </c>
    </row>
    <row r="71" spans="2:15">
      <c r="B71" s="149" t="s">
        <v>297</v>
      </c>
      <c r="C71" s="149" t="s">
        <v>298</v>
      </c>
      <c r="D71" s="149" t="s">
        <v>14</v>
      </c>
      <c r="E71" s="149" t="s">
        <v>71</v>
      </c>
      <c r="F71" s="149" t="s">
        <v>299</v>
      </c>
      <c r="G71" s="149" t="s">
        <v>305</v>
      </c>
      <c r="H71" s="149" t="s">
        <v>101</v>
      </c>
      <c r="I71" s="149" t="s">
        <v>402</v>
      </c>
      <c r="J71" s="149" t="s">
        <v>403</v>
      </c>
      <c r="K71" s="149" t="s">
        <v>404</v>
      </c>
      <c r="L71" s="149" t="s">
        <v>96</v>
      </c>
      <c r="M71" s="149" t="s">
        <v>304</v>
      </c>
      <c r="N71" s="150">
        <v>2.91533</v>
      </c>
      <c r="O71" s="115">
        <f t="shared" si="1"/>
        <v>0.86876833999999992</v>
      </c>
    </row>
    <row r="72" spans="2:15">
      <c r="B72" s="149" t="s">
        <v>297</v>
      </c>
      <c r="C72" s="149" t="s">
        <v>298</v>
      </c>
      <c r="D72" s="149" t="s">
        <v>21</v>
      </c>
      <c r="E72" s="149" t="s">
        <v>126</v>
      </c>
      <c r="F72" s="149" t="s">
        <v>299</v>
      </c>
      <c r="G72" s="149" t="s">
        <v>305</v>
      </c>
      <c r="H72" s="149" t="s">
        <v>95</v>
      </c>
      <c r="I72" s="149" t="s">
        <v>402</v>
      </c>
      <c r="J72" s="149" t="s">
        <v>403</v>
      </c>
      <c r="K72" s="149" t="s">
        <v>404</v>
      </c>
      <c r="L72" s="149" t="s">
        <v>96</v>
      </c>
      <c r="M72" s="149" t="s">
        <v>304</v>
      </c>
      <c r="N72" s="150">
        <v>6.3079999999999998</v>
      </c>
      <c r="O72" s="115">
        <f t="shared" si="1"/>
        <v>1.8797839999999999</v>
      </c>
    </row>
    <row r="73" spans="2:15">
      <c r="B73" s="149" t="s">
        <v>297</v>
      </c>
      <c r="C73" s="149" t="s">
        <v>298</v>
      </c>
      <c r="D73" s="149" t="s">
        <v>314</v>
      </c>
      <c r="E73" s="149" t="s">
        <v>147</v>
      </c>
      <c r="F73" s="149" t="s">
        <v>299</v>
      </c>
      <c r="G73" s="149" t="s">
        <v>305</v>
      </c>
      <c r="H73" s="149" t="s">
        <v>101</v>
      </c>
      <c r="I73" s="149" t="s">
        <v>402</v>
      </c>
      <c r="J73" s="149" t="s">
        <v>403</v>
      </c>
      <c r="K73" s="149" t="s">
        <v>404</v>
      </c>
      <c r="L73" s="149" t="s">
        <v>96</v>
      </c>
      <c r="M73" s="149" t="s">
        <v>304</v>
      </c>
      <c r="N73" s="150">
        <v>5.5487500000000001</v>
      </c>
      <c r="O73" s="115">
        <f t="shared" si="1"/>
        <v>1.6535274999999998</v>
      </c>
    </row>
    <row r="74" spans="2:15">
      <c r="B74" s="149" t="s">
        <v>297</v>
      </c>
      <c r="C74" s="149" t="s">
        <v>298</v>
      </c>
      <c r="D74" s="149" t="s">
        <v>314</v>
      </c>
      <c r="E74" s="149" t="s">
        <v>147</v>
      </c>
      <c r="F74" s="149" t="s">
        <v>299</v>
      </c>
      <c r="G74" s="149" t="s">
        <v>305</v>
      </c>
      <c r="H74" s="149" t="s">
        <v>95</v>
      </c>
      <c r="I74" s="149" t="s">
        <v>402</v>
      </c>
      <c r="J74" s="149" t="s">
        <v>403</v>
      </c>
      <c r="K74" s="149" t="s">
        <v>404</v>
      </c>
      <c r="L74" s="149" t="s">
        <v>96</v>
      </c>
      <c r="M74" s="149" t="s">
        <v>304</v>
      </c>
      <c r="N74" s="150">
        <v>2.4479099999999998</v>
      </c>
      <c r="O74" s="115">
        <f t="shared" si="1"/>
        <v>0.72947717999999995</v>
      </c>
    </row>
    <row r="75" spans="2:15">
      <c r="B75" s="149" t="s">
        <v>297</v>
      </c>
      <c r="C75" s="149" t="s">
        <v>298</v>
      </c>
      <c r="D75" s="149" t="s">
        <v>44</v>
      </c>
      <c r="E75" s="149" t="s">
        <v>127</v>
      </c>
      <c r="F75" s="149" t="s">
        <v>299</v>
      </c>
      <c r="G75" s="149" t="s">
        <v>305</v>
      </c>
      <c r="H75" s="149" t="s">
        <v>101</v>
      </c>
      <c r="I75" s="149" t="s">
        <v>402</v>
      </c>
      <c r="J75" s="149" t="s">
        <v>403</v>
      </c>
      <c r="K75" s="149" t="s">
        <v>404</v>
      </c>
      <c r="L75" s="149" t="s">
        <v>96</v>
      </c>
      <c r="M75" s="149" t="s">
        <v>304</v>
      </c>
      <c r="N75" s="150">
        <v>0.19439999999999999</v>
      </c>
      <c r="O75" s="115">
        <f t="shared" si="1"/>
        <v>5.7931199999999995E-2</v>
      </c>
    </row>
    <row r="76" spans="2:15">
      <c r="B76" s="149" t="s">
        <v>297</v>
      </c>
      <c r="C76" s="149" t="s">
        <v>298</v>
      </c>
      <c r="D76" s="149" t="s">
        <v>43</v>
      </c>
      <c r="E76" s="149" t="s">
        <v>116</v>
      </c>
      <c r="F76" s="149" t="s">
        <v>299</v>
      </c>
      <c r="G76" s="149" t="s">
        <v>305</v>
      </c>
      <c r="H76" s="149" t="s">
        <v>95</v>
      </c>
      <c r="I76" s="149" t="s">
        <v>402</v>
      </c>
      <c r="J76" s="149" t="s">
        <v>403</v>
      </c>
      <c r="K76" s="149" t="s">
        <v>404</v>
      </c>
      <c r="L76" s="149" t="s">
        <v>21</v>
      </c>
      <c r="M76" s="149" t="s">
        <v>304</v>
      </c>
      <c r="N76" s="150">
        <v>0</v>
      </c>
      <c r="O76" s="115">
        <f t="shared" si="1"/>
        <v>0</v>
      </c>
    </row>
    <row r="77" spans="2:15">
      <c r="B77" s="149" t="s">
        <v>297</v>
      </c>
      <c r="C77" s="149" t="s">
        <v>298</v>
      </c>
      <c r="D77" s="149" t="s">
        <v>42</v>
      </c>
      <c r="E77" s="149" t="s">
        <v>63</v>
      </c>
      <c r="F77" s="149" t="s">
        <v>299</v>
      </c>
      <c r="G77" s="149" t="s">
        <v>305</v>
      </c>
      <c r="H77" s="149" t="s">
        <v>106</v>
      </c>
      <c r="I77" s="149" t="s">
        <v>402</v>
      </c>
      <c r="J77" s="149" t="s">
        <v>403</v>
      </c>
      <c r="K77" s="149" t="s">
        <v>404</v>
      </c>
      <c r="L77" s="149" t="s">
        <v>96</v>
      </c>
      <c r="M77" s="149" t="s">
        <v>304</v>
      </c>
      <c r="N77" s="150">
        <v>0.94</v>
      </c>
      <c r="O77" s="115">
        <f t="shared" si="1"/>
        <v>0.28011999999999998</v>
      </c>
    </row>
    <row r="78" spans="2:15">
      <c r="B78" s="149" t="s">
        <v>297</v>
      </c>
      <c r="C78" s="149" t="s">
        <v>298</v>
      </c>
      <c r="D78" s="149" t="s">
        <v>36</v>
      </c>
      <c r="E78" s="149" t="s">
        <v>121</v>
      </c>
      <c r="F78" s="149" t="s">
        <v>299</v>
      </c>
      <c r="G78" s="149" t="s">
        <v>305</v>
      </c>
      <c r="H78" s="149" t="s">
        <v>101</v>
      </c>
      <c r="I78" s="149" t="s">
        <v>402</v>
      </c>
      <c r="J78" s="149" t="s">
        <v>403</v>
      </c>
      <c r="K78" s="149" t="s">
        <v>404</v>
      </c>
      <c r="L78" s="149" t="s">
        <v>96</v>
      </c>
      <c r="M78" s="149" t="s">
        <v>304</v>
      </c>
      <c r="N78" s="150">
        <v>0.53735999999999995</v>
      </c>
      <c r="O78" s="115">
        <f t="shared" si="1"/>
        <v>0.16013327999999999</v>
      </c>
    </row>
    <row r="79" spans="2:15">
      <c r="B79" s="149" t="s">
        <v>297</v>
      </c>
      <c r="C79" s="149" t="s">
        <v>298</v>
      </c>
      <c r="D79" s="149" t="s">
        <v>36</v>
      </c>
      <c r="E79" s="149" t="s">
        <v>121</v>
      </c>
      <c r="F79" s="149" t="s">
        <v>299</v>
      </c>
      <c r="G79" s="149" t="s">
        <v>305</v>
      </c>
      <c r="H79" s="149" t="s">
        <v>106</v>
      </c>
      <c r="I79" s="149" t="s">
        <v>402</v>
      </c>
      <c r="J79" s="149" t="s">
        <v>403</v>
      </c>
      <c r="K79" s="149" t="s">
        <v>404</v>
      </c>
      <c r="L79" s="149" t="s">
        <v>96</v>
      </c>
      <c r="M79" s="149" t="s">
        <v>304</v>
      </c>
      <c r="N79" s="150">
        <v>0.86787999999999998</v>
      </c>
      <c r="O79" s="115">
        <f t="shared" si="1"/>
        <v>0.25862824000000001</v>
      </c>
    </row>
    <row r="80" spans="2:15">
      <c r="B80" s="149" t="s">
        <v>297</v>
      </c>
      <c r="C80" s="149" t="s">
        <v>298</v>
      </c>
      <c r="D80" s="149" t="s">
        <v>35</v>
      </c>
      <c r="E80" s="149" t="s">
        <v>114</v>
      </c>
      <c r="F80" s="149" t="s">
        <v>299</v>
      </c>
      <c r="G80" s="149" t="s">
        <v>305</v>
      </c>
      <c r="H80" s="149" t="s">
        <v>95</v>
      </c>
      <c r="I80" s="149" t="s">
        <v>402</v>
      </c>
      <c r="J80" s="149" t="s">
        <v>403</v>
      </c>
      <c r="K80" s="149" t="s">
        <v>404</v>
      </c>
      <c r="L80" s="149" t="s">
        <v>96</v>
      </c>
      <c r="M80" s="149" t="s">
        <v>304</v>
      </c>
      <c r="N80" s="150">
        <v>13.765560000000001</v>
      </c>
      <c r="O80" s="115">
        <f t="shared" si="1"/>
        <v>4.1021368799999998</v>
      </c>
    </row>
    <row r="81" spans="2:15">
      <c r="B81" s="149" t="s">
        <v>297</v>
      </c>
      <c r="C81" s="149" t="s">
        <v>298</v>
      </c>
      <c r="D81" s="149" t="s">
        <v>34</v>
      </c>
      <c r="E81" s="149" t="s">
        <v>62</v>
      </c>
      <c r="F81" s="149" t="s">
        <v>299</v>
      </c>
      <c r="G81" s="149" t="s">
        <v>305</v>
      </c>
      <c r="H81" s="149" t="s">
        <v>106</v>
      </c>
      <c r="I81" s="149" t="s">
        <v>402</v>
      </c>
      <c r="J81" s="149" t="s">
        <v>403</v>
      </c>
      <c r="K81" s="149" t="s">
        <v>404</v>
      </c>
      <c r="L81" s="149" t="s">
        <v>96</v>
      </c>
      <c r="M81" s="149" t="s">
        <v>304</v>
      </c>
      <c r="N81" s="150">
        <v>1.0447900000000001</v>
      </c>
      <c r="O81" s="115">
        <f t="shared" si="1"/>
        <v>0.31134742000000004</v>
      </c>
    </row>
    <row r="82" spans="2:15">
      <c r="B82" s="149" t="s">
        <v>297</v>
      </c>
      <c r="C82" s="149" t="s">
        <v>298</v>
      </c>
      <c r="D82" s="149" t="s">
        <v>33</v>
      </c>
      <c r="E82" s="149" t="s">
        <v>65</v>
      </c>
      <c r="F82" s="149" t="s">
        <v>299</v>
      </c>
      <c r="G82" s="149" t="s">
        <v>305</v>
      </c>
      <c r="H82" s="149" t="s">
        <v>106</v>
      </c>
      <c r="I82" s="149" t="s">
        <v>402</v>
      </c>
      <c r="J82" s="149" t="s">
        <v>403</v>
      </c>
      <c r="K82" s="149" t="s">
        <v>404</v>
      </c>
      <c r="L82" s="149" t="s">
        <v>96</v>
      </c>
      <c r="M82" s="149" t="s">
        <v>304</v>
      </c>
      <c r="N82" s="150">
        <v>0.16877</v>
      </c>
      <c r="O82" s="115">
        <f t="shared" si="1"/>
        <v>5.0293460000000005E-2</v>
      </c>
    </row>
    <row r="83" spans="2:15">
      <c r="B83" s="149" t="s">
        <v>297</v>
      </c>
      <c r="C83" s="149" t="s">
        <v>298</v>
      </c>
      <c r="D83" s="149" t="s">
        <v>43</v>
      </c>
      <c r="E83" s="149" t="s">
        <v>116</v>
      </c>
      <c r="F83" s="149" t="s">
        <v>299</v>
      </c>
      <c r="G83" s="149" t="s">
        <v>305</v>
      </c>
      <c r="H83" s="149" t="s">
        <v>106</v>
      </c>
      <c r="I83" s="149" t="s">
        <v>402</v>
      </c>
      <c r="J83" s="149" t="s">
        <v>403</v>
      </c>
      <c r="K83" s="149" t="s">
        <v>404</v>
      </c>
      <c r="L83" s="149" t="s">
        <v>21</v>
      </c>
      <c r="M83" s="149" t="s">
        <v>304</v>
      </c>
      <c r="N83" s="150">
        <v>0</v>
      </c>
      <c r="O83" s="115">
        <f t="shared" si="1"/>
        <v>0</v>
      </c>
    </row>
    <row r="84" spans="2:15">
      <c r="B84" s="149" t="s">
        <v>297</v>
      </c>
      <c r="C84" s="149" t="s">
        <v>298</v>
      </c>
      <c r="D84" s="149" t="s">
        <v>31</v>
      </c>
      <c r="E84" s="149" t="s">
        <v>124</v>
      </c>
      <c r="F84" s="149" t="s">
        <v>299</v>
      </c>
      <c r="G84" s="149" t="s">
        <v>305</v>
      </c>
      <c r="H84" s="149" t="s">
        <v>95</v>
      </c>
      <c r="I84" s="149" t="s">
        <v>402</v>
      </c>
      <c r="J84" s="149" t="s">
        <v>403</v>
      </c>
      <c r="K84" s="149" t="s">
        <v>404</v>
      </c>
      <c r="L84" s="149" t="s">
        <v>21</v>
      </c>
      <c r="M84" s="149" t="s">
        <v>304</v>
      </c>
      <c r="N84" s="150">
        <v>0</v>
      </c>
      <c r="O84" s="115">
        <f t="shared" si="1"/>
        <v>0</v>
      </c>
    </row>
    <row r="85" spans="2:15">
      <c r="B85" s="149" t="s">
        <v>297</v>
      </c>
      <c r="C85" s="149" t="s">
        <v>298</v>
      </c>
      <c r="D85" s="149" t="s">
        <v>31</v>
      </c>
      <c r="E85" s="149" t="s">
        <v>124</v>
      </c>
      <c r="F85" s="149" t="s">
        <v>299</v>
      </c>
      <c r="G85" s="149" t="s">
        <v>305</v>
      </c>
      <c r="H85" s="149" t="s">
        <v>106</v>
      </c>
      <c r="I85" s="149" t="s">
        <v>402</v>
      </c>
      <c r="J85" s="149" t="s">
        <v>403</v>
      </c>
      <c r="K85" s="149" t="s">
        <v>404</v>
      </c>
      <c r="L85" s="149" t="s">
        <v>21</v>
      </c>
      <c r="M85" s="149" t="s">
        <v>304</v>
      </c>
      <c r="N85" s="150">
        <v>0</v>
      </c>
      <c r="O85" s="115">
        <f t="shared" si="1"/>
        <v>0</v>
      </c>
    </row>
    <row r="86" spans="2:15">
      <c r="B86" s="149" t="s">
        <v>297</v>
      </c>
      <c r="C86" s="149" t="s">
        <v>298</v>
      </c>
      <c r="D86" s="149" t="s">
        <v>42</v>
      </c>
      <c r="E86" s="149" t="s">
        <v>63</v>
      </c>
      <c r="F86" s="149" t="s">
        <v>299</v>
      </c>
      <c r="G86" s="149" t="s">
        <v>305</v>
      </c>
      <c r="H86" s="149" t="s">
        <v>95</v>
      </c>
      <c r="I86" s="149" t="s">
        <v>402</v>
      </c>
      <c r="J86" s="149" t="s">
        <v>403</v>
      </c>
      <c r="K86" s="149" t="s">
        <v>404</v>
      </c>
      <c r="L86" s="149" t="s">
        <v>96</v>
      </c>
      <c r="M86" s="149" t="s">
        <v>304</v>
      </c>
      <c r="N86" s="150">
        <v>2.97614</v>
      </c>
      <c r="O86" s="115">
        <f t="shared" si="1"/>
        <v>0.88688971999999999</v>
      </c>
    </row>
    <row r="87" spans="2:15">
      <c r="B87" s="149" t="s">
        <v>297</v>
      </c>
      <c r="C87" s="149" t="s">
        <v>298</v>
      </c>
      <c r="D87" s="149" t="s">
        <v>26</v>
      </c>
      <c r="E87" s="149" t="s">
        <v>66</v>
      </c>
      <c r="F87" s="149" t="s">
        <v>299</v>
      </c>
      <c r="G87" s="149" t="s">
        <v>305</v>
      </c>
      <c r="H87" s="149" t="s">
        <v>95</v>
      </c>
      <c r="I87" s="149" t="s">
        <v>402</v>
      </c>
      <c r="J87" s="149" t="s">
        <v>403</v>
      </c>
      <c r="K87" s="149" t="s">
        <v>404</v>
      </c>
      <c r="L87" s="149" t="s">
        <v>21</v>
      </c>
      <c r="M87" s="149" t="s">
        <v>304</v>
      </c>
      <c r="N87" s="150">
        <v>0</v>
      </c>
      <c r="O87" s="115">
        <f t="shared" si="1"/>
        <v>0</v>
      </c>
    </row>
    <row r="88" spans="2:15">
      <c r="B88" s="149" t="s">
        <v>297</v>
      </c>
      <c r="C88" s="149" t="s">
        <v>298</v>
      </c>
      <c r="D88" s="149" t="s">
        <v>26</v>
      </c>
      <c r="E88" s="149" t="s">
        <v>66</v>
      </c>
      <c r="F88" s="149" t="s">
        <v>299</v>
      </c>
      <c r="G88" s="149" t="s">
        <v>305</v>
      </c>
      <c r="H88" s="149" t="s">
        <v>106</v>
      </c>
      <c r="I88" s="149" t="s">
        <v>402</v>
      </c>
      <c r="J88" s="149" t="s">
        <v>403</v>
      </c>
      <c r="K88" s="149" t="s">
        <v>404</v>
      </c>
      <c r="L88" s="149" t="s">
        <v>21</v>
      </c>
      <c r="M88" s="149" t="s">
        <v>304</v>
      </c>
      <c r="N88" s="150">
        <v>0</v>
      </c>
      <c r="O88" s="115">
        <f t="shared" si="1"/>
        <v>0</v>
      </c>
    </row>
    <row r="89" spans="2:15">
      <c r="B89" s="149" t="s">
        <v>297</v>
      </c>
      <c r="C89" s="149" t="s">
        <v>298</v>
      </c>
      <c r="D89" s="149" t="s">
        <v>22</v>
      </c>
      <c r="E89" s="149" t="s">
        <v>119</v>
      </c>
      <c r="F89" s="149" t="s">
        <v>299</v>
      </c>
      <c r="G89" s="149" t="s">
        <v>305</v>
      </c>
      <c r="H89" s="149" t="s">
        <v>106</v>
      </c>
      <c r="I89" s="149" t="s">
        <v>402</v>
      </c>
      <c r="J89" s="149" t="s">
        <v>403</v>
      </c>
      <c r="K89" s="149" t="s">
        <v>404</v>
      </c>
      <c r="L89" s="149" t="s">
        <v>96</v>
      </c>
      <c r="M89" s="149" t="s">
        <v>304</v>
      </c>
      <c r="N89" s="150">
        <v>1.2427900000000001</v>
      </c>
      <c r="O89" s="115">
        <f t="shared" si="1"/>
        <v>0.37035142000000004</v>
      </c>
    </row>
    <row r="90" spans="2:15">
      <c r="B90" s="149" t="s">
        <v>297</v>
      </c>
      <c r="C90" s="149" t="s">
        <v>298</v>
      </c>
      <c r="D90" s="149" t="s">
        <v>41</v>
      </c>
      <c r="E90" s="149" t="s">
        <v>110</v>
      </c>
      <c r="F90" s="149" t="s">
        <v>299</v>
      </c>
      <c r="G90" s="149" t="s">
        <v>305</v>
      </c>
      <c r="H90" s="149" t="s">
        <v>106</v>
      </c>
      <c r="I90" s="149" t="s">
        <v>402</v>
      </c>
      <c r="J90" s="149" t="s">
        <v>403</v>
      </c>
      <c r="K90" s="149" t="s">
        <v>404</v>
      </c>
      <c r="L90" s="149" t="s">
        <v>96</v>
      </c>
      <c r="M90" s="149" t="s">
        <v>304</v>
      </c>
      <c r="N90" s="150">
        <v>1.6898599999999999</v>
      </c>
      <c r="O90" s="115">
        <f t="shared" si="1"/>
        <v>0.50357827999999993</v>
      </c>
    </row>
    <row r="91" spans="2:15">
      <c r="B91" s="149" t="s">
        <v>297</v>
      </c>
      <c r="C91" s="149" t="s">
        <v>298</v>
      </c>
      <c r="D91" s="149" t="s">
        <v>19</v>
      </c>
      <c r="E91" s="149" t="s">
        <v>69</v>
      </c>
      <c r="F91" s="149" t="s">
        <v>299</v>
      </c>
      <c r="G91" s="149" t="s">
        <v>305</v>
      </c>
      <c r="H91" s="149" t="s">
        <v>106</v>
      </c>
      <c r="I91" s="149" t="s">
        <v>402</v>
      </c>
      <c r="J91" s="149" t="s">
        <v>403</v>
      </c>
      <c r="K91" s="149" t="s">
        <v>404</v>
      </c>
      <c r="L91" s="149" t="s">
        <v>96</v>
      </c>
      <c r="M91" s="149" t="s">
        <v>304</v>
      </c>
      <c r="N91" s="150">
        <v>0.1275</v>
      </c>
      <c r="O91" s="115">
        <f t="shared" si="1"/>
        <v>3.7994999999999994E-2</v>
      </c>
    </row>
    <row r="92" spans="2:15">
      <c r="B92" s="149" t="s">
        <v>297</v>
      </c>
      <c r="C92" s="149" t="s">
        <v>298</v>
      </c>
      <c r="D92" s="149" t="s">
        <v>18</v>
      </c>
      <c r="E92" s="149" t="s">
        <v>70</v>
      </c>
      <c r="F92" s="149" t="s">
        <v>299</v>
      </c>
      <c r="G92" s="149" t="s">
        <v>305</v>
      </c>
      <c r="H92" s="149" t="s">
        <v>101</v>
      </c>
      <c r="I92" s="149" t="s">
        <v>402</v>
      </c>
      <c r="J92" s="149" t="s">
        <v>403</v>
      </c>
      <c r="K92" s="149" t="s">
        <v>404</v>
      </c>
      <c r="L92" s="149" t="s">
        <v>96</v>
      </c>
      <c r="M92" s="149" t="s">
        <v>304</v>
      </c>
      <c r="N92" s="150">
        <v>3.9801199999999999</v>
      </c>
      <c r="O92" s="115">
        <f t="shared" si="1"/>
        <v>1.18607576</v>
      </c>
    </row>
    <row r="93" spans="2:15">
      <c r="B93" s="149" t="s">
        <v>297</v>
      </c>
      <c r="C93" s="149" t="s">
        <v>298</v>
      </c>
      <c r="D93" s="149" t="s">
        <v>40</v>
      </c>
      <c r="E93" s="149" t="s">
        <v>109</v>
      </c>
      <c r="F93" s="149" t="s">
        <v>299</v>
      </c>
      <c r="G93" s="149" t="s">
        <v>305</v>
      </c>
      <c r="H93" s="149" t="s">
        <v>101</v>
      </c>
      <c r="I93" s="149" t="s">
        <v>402</v>
      </c>
      <c r="J93" s="149" t="s">
        <v>403</v>
      </c>
      <c r="K93" s="149" t="s">
        <v>404</v>
      </c>
      <c r="L93" s="149" t="s">
        <v>21</v>
      </c>
      <c r="M93" s="149" t="s">
        <v>304</v>
      </c>
      <c r="N93" s="150">
        <v>0</v>
      </c>
      <c r="O93" s="115">
        <f t="shared" si="1"/>
        <v>0</v>
      </c>
    </row>
    <row r="94" spans="2:15">
      <c r="B94" s="149" t="s">
        <v>297</v>
      </c>
      <c r="C94" s="149" t="s">
        <v>298</v>
      </c>
      <c r="D94" s="149" t="s">
        <v>15</v>
      </c>
      <c r="E94" s="149" t="s">
        <v>72</v>
      </c>
      <c r="F94" s="149" t="s">
        <v>299</v>
      </c>
      <c r="G94" s="149" t="s">
        <v>305</v>
      </c>
      <c r="H94" s="149" t="s">
        <v>106</v>
      </c>
      <c r="I94" s="149" t="s">
        <v>402</v>
      </c>
      <c r="J94" s="149" t="s">
        <v>403</v>
      </c>
      <c r="K94" s="149" t="s">
        <v>404</v>
      </c>
      <c r="L94" s="149" t="s">
        <v>21</v>
      </c>
      <c r="M94" s="149" t="s">
        <v>304</v>
      </c>
      <c r="N94" s="150">
        <v>0</v>
      </c>
      <c r="O94" s="115">
        <f t="shared" si="1"/>
        <v>0</v>
      </c>
    </row>
    <row r="95" spans="2:15">
      <c r="B95" s="149" t="s">
        <v>297</v>
      </c>
      <c r="C95" s="149" t="s">
        <v>298</v>
      </c>
      <c r="D95" s="149" t="s">
        <v>14</v>
      </c>
      <c r="E95" s="149" t="s">
        <v>71</v>
      </c>
      <c r="F95" s="149" t="s">
        <v>299</v>
      </c>
      <c r="G95" s="149" t="s">
        <v>305</v>
      </c>
      <c r="H95" s="149" t="s">
        <v>106</v>
      </c>
      <c r="I95" s="149" t="s">
        <v>402</v>
      </c>
      <c r="J95" s="149" t="s">
        <v>403</v>
      </c>
      <c r="K95" s="149" t="s">
        <v>404</v>
      </c>
      <c r="L95" s="149" t="s">
        <v>96</v>
      </c>
      <c r="M95" s="149" t="s">
        <v>304</v>
      </c>
      <c r="N95" s="150">
        <v>0.46906999999999999</v>
      </c>
      <c r="O95" s="115">
        <f t="shared" si="1"/>
        <v>0.13978286000000001</v>
      </c>
    </row>
    <row r="96" spans="2:15">
      <c r="B96" s="149" t="s">
        <v>297</v>
      </c>
      <c r="C96" s="149" t="s">
        <v>298</v>
      </c>
      <c r="D96" s="149" t="s">
        <v>314</v>
      </c>
      <c r="E96" s="149" t="s">
        <v>147</v>
      </c>
      <c r="F96" s="149" t="s">
        <v>299</v>
      </c>
      <c r="G96" s="149" t="s">
        <v>305</v>
      </c>
      <c r="H96" s="149" t="s">
        <v>106</v>
      </c>
      <c r="I96" s="149" t="s">
        <v>402</v>
      </c>
      <c r="J96" s="149" t="s">
        <v>403</v>
      </c>
      <c r="K96" s="149" t="s">
        <v>404</v>
      </c>
      <c r="L96" s="149" t="s">
        <v>96</v>
      </c>
      <c r="M96" s="149" t="s">
        <v>304</v>
      </c>
      <c r="N96" s="150">
        <v>4.74899</v>
      </c>
      <c r="O96" s="115">
        <f t="shared" si="1"/>
        <v>1.41519902</v>
      </c>
    </row>
    <row r="97" spans="2:15">
      <c r="B97" s="149" t="s">
        <v>297</v>
      </c>
      <c r="C97" s="149" t="s">
        <v>298</v>
      </c>
      <c r="D97" s="149" t="s">
        <v>39</v>
      </c>
      <c r="E97" s="149" t="s">
        <v>64</v>
      </c>
      <c r="F97" s="149" t="s">
        <v>299</v>
      </c>
      <c r="G97" s="149" t="s">
        <v>305</v>
      </c>
      <c r="H97" s="149" t="s">
        <v>106</v>
      </c>
      <c r="I97" s="149" t="s">
        <v>402</v>
      </c>
      <c r="J97" s="149" t="s">
        <v>403</v>
      </c>
      <c r="K97" s="149" t="s">
        <v>404</v>
      </c>
      <c r="L97" s="149" t="s">
        <v>21</v>
      </c>
      <c r="M97" s="149" t="s">
        <v>304</v>
      </c>
      <c r="N97" s="150">
        <v>0</v>
      </c>
      <c r="O97" s="115">
        <f t="shared" si="1"/>
        <v>0</v>
      </c>
    </row>
    <row r="98" spans="2:15">
      <c r="B98" s="149" t="s">
        <v>297</v>
      </c>
      <c r="C98" s="149" t="s">
        <v>298</v>
      </c>
      <c r="D98" s="149" t="s">
        <v>13</v>
      </c>
      <c r="E98" s="149" t="s">
        <v>315</v>
      </c>
      <c r="F98" s="149" t="s">
        <v>299</v>
      </c>
      <c r="G98" s="149" t="s">
        <v>305</v>
      </c>
      <c r="H98" s="149" t="s">
        <v>95</v>
      </c>
      <c r="I98" s="149" t="s">
        <v>402</v>
      </c>
      <c r="J98" s="149" t="s">
        <v>403</v>
      </c>
      <c r="K98" s="149" t="s">
        <v>404</v>
      </c>
      <c r="L98" s="149" t="s">
        <v>96</v>
      </c>
      <c r="M98" s="149" t="s">
        <v>304</v>
      </c>
      <c r="N98" s="150">
        <v>6.51518</v>
      </c>
      <c r="O98" s="115">
        <f t="shared" si="1"/>
        <v>1.94152364</v>
      </c>
    </row>
    <row r="99" spans="2:15">
      <c r="B99" s="149" t="s">
        <v>297</v>
      </c>
      <c r="C99" s="149" t="s">
        <v>298</v>
      </c>
      <c r="D99" s="149" t="s">
        <v>37</v>
      </c>
      <c r="E99" s="149" t="s">
        <v>113</v>
      </c>
      <c r="F99" s="149" t="s">
        <v>299</v>
      </c>
      <c r="G99" s="149" t="s">
        <v>305</v>
      </c>
      <c r="H99" s="149" t="s">
        <v>101</v>
      </c>
      <c r="I99" s="149" t="s">
        <v>402</v>
      </c>
      <c r="J99" s="149" t="s">
        <v>403</v>
      </c>
      <c r="K99" s="149" t="s">
        <v>404</v>
      </c>
      <c r="L99" s="149" t="s">
        <v>96</v>
      </c>
      <c r="M99" s="149" t="s">
        <v>304</v>
      </c>
      <c r="N99" s="150">
        <v>1.62706</v>
      </c>
      <c r="O99" s="115">
        <f t="shared" si="1"/>
        <v>0.48486387999999997</v>
      </c>
    </row>
    <row r="100" spans="2:15">
      <c r="B100" s="149" t="s">
        <v>297</v>
      </c>
      <c r="C100" s="149" t="s">
        <v>298</v>
      </c>
      <c r="D100" s="149" t="s">
        <v>313</v>
      </c>
      <c r="E100" s="149" t="s">
        <v>143</v>
      </c>
      <c r="F100" s="149" t="s">
        <v>299</v>
      </c>
      <c r="G100" s="149" t="s">
        <v>305</v>
      </c>
      <c r="H100" s="149" t="s">
        <v>101</v>
      </c>
      <c r="I100" s="149" t="s">
        <v>402</v>
      </c>
      <c r="J100" s="149" t="s">
        <v>403</v>
      </c>
      <c r="K100" s="149" t="s">
        <v>404</v>
      </c>
      <c r="L100" s="149" t="s">
        <v>21</v>
      </c>
      <c r="M100" s="149" t="s">
        <v>304</v>
      </c>
      <c r="N100" s="150">
        <v>0</v>
      </c>
      <c r="O100" s="115">
        <f t="shared" si="1"/>
        <v>0</v>
      </c>
    </row>
    <row r="101" spans="2:15">
      <c r="B101" s="149" t="s">
        <v>297</v>
      </c>
      <c r="C101" s="149" t="s">
        <v>298</v>
      </c>
      <c r="D101" s="149" t="s">
        <v>28</v>
      </c>
      <c r="E101" s="149" t="s">
        <v>67</v>
      </c>
      <c r="F101" s="149" t="s">
        <v>299</v>
      </c>
      <c r="G101" s="149" t="s">
        <v>305</v>
      </c>
      <c r="H101" s="149" t="s">
        <v>101</v>
      </c>
      <c r="I101" s="149" t="s">
        <v>402</v>
      </c>
      <c r="J101" s="149" t="s">
        <v>403</v>
      </c>
      <c r="K101" s="149" t="s">
        <v>404</v>
      </c>
      <c r="L101" s="149" t="s">
        <v>96</v>
      </c>
      <c r="M101" s="149" t="s">
        <v>304</v>
      </c>
      <c r="N101" s="150">
        <v>1.86422</v>
      </c>
      <c r="O101" s="115">
        <f t="shared" si="1"/>
        <v>0.55553755999999999</v>
      </c>
    </row>
    <row r="102" spans="2:15">
      <c r="B102" s="149" t="s">
        <v>297</v>
      </c>
      <c r="C102" s="149" t="s">
        <v>298</v>
      </c>
      <c r="D102" s="149" t="s">
        <v>27</v>
      </c>
      <c r="E102" s="149" t="s">
        <v>117</v>
      </c>
      <c r="F102" s="149" t="s">
        <v>299</v>
      </c>
      <c r="G102" s="149" t="s">
        <v>305</v>
      </c>
      <c r="H102" s="149" t="s">
        <v>101</v>
      </c>
      <c r="I102" s="149" t="s">
        <v>402</v>
      </c>
      <c r="J102" s="149" t="s">
        <v>403</v>
      </c>
      <c r="K102" s="149" t="s">
        <v>404</v>
      </c>
      <c r="L102" s="149" t="s">
        <v>21</v>
      </c>
      <c r="M102" s="149" t="s">
        <v>304</v>
      </c>
      <c r="N102" s="150">
        <v>0</v>
      </c>
      <c r="O102" s="115">
        <f t="shared" si="1"/>
        <v>0</v>
      </c>
    </row>
    <row r="103" spans="2:15">
      <c r="B103" s="149" t="s">
        <v>297</v>
      </c>
      <c r="C103" s="149" t="s">
        <v>298</v>
      </c>
      <c r="D103" s="149" t="s">
        <v>21</v>
      </c>
      <c r="E103" s="149" t="s">
        <v>126</v>
      </c>
      <c r="F103" s="149" t="s">
        <v>299</v>
      </c>
      <c r="G103" s="149" t="s">
        <v>305</v>
      </c>
      <c r="H103" s="149" t="s">
        <v>106</v>
      </c>
      <c r="I103" s="149" t="s">
        <v>402</v>
      </c>
      <c r="J103" s="149" t="s">
        <v>403</v>
      </c>
      <c r="K103" s="149" t="s">
        <v>404</v>
      </c>
      <c r="L103" s="149" t="s">
        <v>96</v>
      </c>
      <c r="M103" s="149" t="s">
        <v>304</v>
      </c>
      <c r="N103" s="150">
        <v>0.84421999999999997</v>
      </c>
      <c r="O103" s="115">
        <f t="shared" si="1"/>
        <v>0.25157755999999998</v>
      </c>
    </row>
    <row r="104" spans="2:15">
      <c r="B104" s="149" t="s">
        <v>297</v>
      </c>
      <c r="C104" s="149" t="s">
        <v>298</v>
      </c>
      <c r="D104" s="149" t="s">
        <v>18</v>
      </c>
      <c r="E104" s="149" t="s">
        <v>70</v>
      </c>
      <c r="F104" s="149" t="s">
        <v>299</v>
      </c>
      <c r="G104" s="149" t="s">
        <v>305</v>
      </c>
      <c r="H104" s="149" t="s">
        <v>95</v>
      </c>
      <c r="I104" s="149" t="s">
        <v>402</v>
      </c>
      <c r="J104" s="149" t="s">
        <v>403</v>
      </c>
      <c r="K104" s="149" t="s">
        <v>404</v>
      </c>
      <c r="L104" s="149" t="s">
        <v>96</v>
      </c>
      <c r="M104" s="149" t="s">
        <v>304</v>
      </c>
      <c r="N104" s="150">
        <v>9.9993099999999995</v>
      </c>
      <c r="O104" s="115">
        <f t="shared" si="1"/>
        <v>2.97979438</v>
      </c>
    </row>
    <row r="105" spans="2:15">
      <c r="B105" s="149" t="s">
        <v>297</v>
      </c>
      <c r="C105" s="149" t="s">
        <v>298</v>
      </c>
      <c r="D105" s="149" t="s">
        <v>15</v>
      </c>
      <c r="E105" s="149" t="s">
        <v>72</v>
      </c>
      <c r="F105" s="149" t="s">
        <v>299</v>
      </c>
      <c r="G105" s="149" t="s">
        <v>305</v>
      </c>
      <c r="H105" s="149" t="s">
        <v>95</v>
      </c>
      <c r="I105" s="149" t="s">
        <v>402</v>
      </c>
      <c r="J105" s="149" t="s">
        <v>403</v>
      </c>
      <c r="K105" s="149" t="s">
        <v>404</v>
      </c>
      <c r="L105" s="149" t="s">
        <v>96</v>
      </c>
      <c r="M105" s="149" t="s">
        <v>304</v>
      </c>
      <c r="N105" s="150">
        <v>1.0000000000000001E-5</v>
      </c>
      <c r="O105" s="115">
        <f t="shared" si="1"/>
        <v>2.9800000000000003E-6</v>
      </c>
    </row>
    <row r="106" spans="2:15">
      <c r="B106" s="149" t="s">
        <v>297</v>
      </c>
      <c r="C106" s="149" t="s">
        <v>298</v>
      </c>
      <c r="D106" s="149" t="s">
        <v>13</v>
      </c>
      <c r="E106" s="149" t="s">
        <v>315</v>
      </c>
      <c r="F106" s="149" t="s">
        <v>299</v>
      </c>
      <c r="G106" s="149" t="s">
        <v>305</v>
      </c>
      <c r="H106" s="149" t="s">
        <v>101</v>
      </c>
      <c r="I106" s="149" t="s">
        <v>402</v>
      </c>
      <c r="J106" s="149" t="s">
        <v>403</v>
      </c>
      <c r="K106" s="149" t="s">
        <v>404</v>
      </c>
      <c r="L106" s="149" t="s">
        <v>96</v>
      </c>
      <c r="M106" s="149" t="s">
        <v>304</v>
      </c>
      <c r="N106" s="150">
        <v>4.2469999999999999</v>
      </c>
      <c r="O106" s="115">
        <f t="shared" si="1"/>
        <v>1.265606</v>
      </c>
    </row>
    <row r="107" spans="2:15">
      <c r="B107" s="149" t="s">
        <v>297</v>
      </c>
      <c r="C107" s="149" t="s">
        <v>298</v>
      </c>
      <c r="D107" s="149" t="s">
        <v>13</v>
      </c>
      <c r="E107" s="149" t="s">
        <v>315</v>
      </c>
      <c r="F107" s="149" t="s">
        <v>299</v>
      </c>
      <c r="G107" s="149" t="s">
        <v>305</v>
      </c>
      <c r="H107" s="149" t="s">
        <v>106</v>
      </c>
      <c r="I107" s="149" t="s">
        <v>402</v>
      </c>
      <c r="J107" s="149" t="s">
        <v>403</v>
      </c>
      <c r="K107" s="149" t="s">
        <v>404</v>
      </c>
      <c r="L107" s="149" t="s">
        <v>96</v>
      </c>
      <c r="M107" s="149" t="s">
        <v>304</v>
      </c>
      <c r="N107" s="150">
        <v>0.14699999999999999</v>
      </c>
      <c r="O107" s="115">
        <f t="shared" si="1"/>
        <v>4.3805999999999998E-2</v>
      </c>
    </row>
    <row r="108" spans="2:15">
      <c r="B108" s="149" t="s">
        <v>297</v>
      </c>
      <c r="C108" s="149" t="s">
        <v>298</v>
      </c>
      <c r="D108" s="149" t="s">
        <v>48</v>
      </c>
      <c r="E108" s="149" t="s">
        <v>120</v>
      </c>
      <c r="F108" s="149" t="s">
        <v>299</v>
      </c>
      <c r="G108" s="149" t="s">
        <v>341</v>
      </c>
      <c r="H108" s="149" t="s">
        <v>106</v>
      </c>
      <c r="I108" s="149" t="s">
        <v>405</v>
      </c>
      <c r="J108" s="149" t="s">
        <v>406</v>
      </c>
      <c r="K108" s="149" t="s">
        <v>407</v>
      </c>
      <c r="L108" s="149" t="s">
        <v>21</v>
      </c>
      <c r="M108" s="149" t="s">
        <v>339</v>
      </c>
      <c r="N108" s="150">
        <v>0</v>
      </c>
      <c r="O108" s="115">
        <f t="shared" si="1"/>
        <v>0</v>
      </c>
    </row>
    <row r="109" spans="2:15">
      <c r="B109" s="149" t="s">
        <v>297</v>
      </c>
      <c r="C109" s="149" t="s">
        <v>298</v>
      </c>
      <c r="D109" s="149" t="s">
        <v>48</v>
      </c>
      <c r="E109" s="149" t="s">
        <v>120</v>
      </c>
      <c r="F109" s="149" t="s">
        <v>299</v>
      </c>
      <c r="G109" s="149" t="s">
        <v>341</v>
      </c>
      <c r="H109" s="149" t="s">
        <v>95</v>
      </c>
      <c r="I109" s="149" t="s">
        <v>405</v>
      </c>
      <c r="J109" s="149" t="s">
        <v>406</v>
      </c>
      <c r="K109" s="149" t="s">
        <v>407</v>
      </c>
      <c r="L109" s="149" t="s">
        <v>21</v>
      </c>
      <c r="M109" s="149" t="s">
        <v>339</v>
      </c>
      <c r="N109" s="150">
        <v>0</v>
      </c>
      <c r="O109" s="115">
        <f t="shared" si="1"/>
        <v>0</v>
      </c>
    </row>
    <row r="110" spans="2:15">
      <c r="B110" s="149" t="s">
        <v>297</v>
      </c>
      <c r="C110" s="149" t="s">
        <v>298</v>
      </c>
      <c r="D110" s="149" t="s">
        <v>48</v>
      </c>
      <c r="E110" s="149" t="s">
        <v>120</v>
      </c>
      <c r="F110" s="149" t="s">
        <v>299</v>
      </c>
      <c r="G110" s="149" t="s">
        <v>341</v>
      </c>
      <c r="H110" s="149" t="s">
        <v>101</v>
      </c>
      <c r="I110" s="149" t="s">
        <v>405</v>
      </c>
      <c r="J110" s="149" t="s">
        <v>406</v>
      </c>
      <c r="K110" s="149" t="s">
        <v>407</v>
      </c>
      <c r="L110" s="149" t="s">
        <v>21</v>
      </c>
      <c r="M110" s="149" t="s">
        <v>339</v>
      </c>
      <c r="N110" s="150">
        <v>0</v>
      </c>
      <c r="O110" s="115">
        <f t="shared" si="1"/>
        <v>0</v>
      </c>
    </row>
    <row r="111" spans="2:15">
      <c r="B111" s="149" t="s">
        <v>297</v>
      </c>
      <c r="C111" s="149" t="s">
        <v>298</v>
      </c>
      <c r="D111" s="149" t="s">
        <v>44</v>
      </c>
      <c r="E111" s="149" t="s">
        <v>127</v>
      </c>
      <c r="F111" s="149" t="s">
        <v>299</v>
      </c>
      <c r="G111" s="149" t="s">
        <v>341</v>
      </c>
      <c r="H111" s="149" t="s">
        <v>95</v>
      </c>
      <c r="I111" s="149" t="s">
        <v>405</v>
      </c>
      <c r="J111" s="149" t="s">
        <v>406</v>
      </c>
      <c r="K111" s="149" t="s">
        <v>407</v>
      </c>
      <c r="L111" s="149" t="s">
        <v>96</v>
      </c>
      <c r="M111" s="149" t="s">
        <v>339</v>
      </c>
      <c r="N111" s="150">
        <v>12.34173</v>
      </c>
      <c r="O111" s="115">
        <f t="shared" si="1"/>
        <v>1.234173E-2</v>
      </c>
    </row>
    <row r="112" spans="2:15">
      <c r="B112" s="149" t="s">
        <v>297</v>
      </c>
      <c r="C112" s="149" t="s">
        <v>298</v>
      </c>
      <c r="D112" s="149" t="s">
        <v>41</v>
      </c>
      <c r="E112" s="149" t="s">
        <v>110</v>
      </c>
      <c r="F112" s="149" t="s">
        <v>299</v>
      </c>
      <c r="G112" s="149" t="s">
        <v>341</v>
      </c>
      <c r="H112" s="149" t="s">
        <v>101</v>
      </c>
      <c r="I112" s="149" t="s">
        <v>405</v>
      </c>
      <c r="J112" s="149" t="s">
        <v>406</v>
      </c>
      <c r="K112" s="149" t="s">
        <v>407</v>
      </c>
      <c r="L112" s="149" t="s">
        <v>96</v>
      </c>
      <c r="M112" s="149" t="s">
        <v>339</v>
      </c>
      <c r="N112" s="150">
        <v>156.78537</v>
      </c>
      <c r="O112" s="115">
        <f t="shared" si="1"/>
        <v>0.15678537000000001</v>
      </c>
    </row>
    <row r="113" spans="2:15">
      <c r="B113" s="149" t="s">
        <v>297</v>
      </c>
      <c r="C113" s="149" t="s">
        <v>298</v>
      </c>
      <c r="D113" s="149" t="s">
        <v>41</v>
      </c>
      <c r="E113" s="149" t="s">
        <v>110</v>
      </c>
      <c r="F113" s="149" t="s">
        <v>299</v>
      </c>
      <c r="G113" s="149" t="s">
        <v>341</v>
      </c>
      <c r="H113" s="149" t="s">
        <v>95</v>
      </c>
      <c r="I113" s="149" t="s">
        <v>405</v>
      </c>
      <c r="J113" s="149" t="s">
        <v>406</v>
      </c>
      <c r="K113" s="149" t="s">
        <v>407</v>
      </c>
      <c r="L113" s="149" t="s">
        <v>96</v>
      </c>
      <c r="M113" s="149" t="s">
        <v>339</v>
      </c>
      <c r="N113" s="150">
        <v>391.88044000000002</v>
      </c>
      <c r="O113" s="115">
        <f t="shared" si="1"/>
        <v>0.39188044</v>
      </c>
    </row>
    <row r="114" spans="2:15">
      <c r="B114" s="149" t="s">
        <v>297</v>
      </c>
      <c r="C114" s="149" t="s">
        <v>298</v>
      </c>
      <c r="D114" s="149" t="s">
        <v>40</v>
      </c>
      <c r="E114" s="149" t="s">
        <v>109</v>
      </c>
      <c r="F114" s="149" t="s">
        <v>299</v>
      </c>
      <c r="G114" s="149" t="s">
        <v>341</v>
      </c>
      <c r="H114" s="149" t="s">
        <v>106</v>
      </c>
      <c r="I114" s="149" t="s">
        <v>405</v>
      </c>
      <c r="J114" s="149" t="s">
        <v>406</v>
      </c>
      <c r="K114" s="149" t="s">
        <v>407</v>
      </c>
      <c r="L114" s="149" t="s">
        <v>21</v>
      </c>
      <c r="M114" s="149" t="s">
        <v>339</v>
      </c>
      <c r="N114" s="150">
        <v>0</v>
      </c>
      <c r="O114" s="115">
        <f t="shared" si="1"/>
        <v>0</v>
      </c>
    </row>
    <row r="115" spans="2:15">
      <c r="B115" s="149" t="s">
        <v>297</v>
      </c>
      <c r="C115" s="149" t="s">
        <v>298</v>
      </c>
      <c r="D115" s="149" t="s">
        <v>39</v>
      </c>
      <c r="E115" s="149" t="s">
        <v>64</v>
      </c>
      <c r="F115" s="149" t="s">
        <v>299</v>
      </c>
      <c r="G115" s="149" t="s">
        <v>341</v>
      </c>
      <c r="H115" s="149" t="s">
        <v>95</v>
      </c>
      <c r="I115" s="149" t="s">
        <v>405</v>
      </c>
      <c r="J115" s="149" t="s">
        <v>406</v>
      </c>
      <c r="K115" s="149" t="s">
        <v>407</v>
      </c>
      <c r="L115" s="149" t="s">
        <v>21</v>
      </c>
      <c r="M115" s="149" t="s">
        <v>339</v>
      </c>
      <c r="N115" s="150">
        <v>0</v>
      </c>
      <c r="O115" s="115">
        <f t="shared" si="1"/>
        <v>0</v>
      </c>
    </row>
    <row r="116" spans="2:15">
      <c r="B116" s="149" t="s">
        <v>297</v>
      </c>
      <c r="C116" s="149" t="s">
        <v>298</v>
      </c>
      <c r="D116" s="149" t="s">
        <v>39</v>
      </c>
      <c r="E116" s="149" t="s">
        <v>64</v>
      </c>
      <c r="F116" s="149" t="s">
        <v>299</v>
      </c>
      <c r="G116" s="149" t="s">
        <v>341</v>
      </c>
      <c r="H116" s="149" t="s">
        <v>101</v>
      </c>
      <c r="I116" s="149" t="s">
        <v>405</v>
      </c>
      <c r="J116" s="149" t="s">
        <v>406</v>
      </c>
      <c r="K116" s="149" t="s">
        <v>407</v>
      </c>
      <c r="L116" s="149" t="s">
        <v>21</v>
      </c>
      <c r="M116" s="149" t="s">
        <v>339</v>
      </c>
      <c r="N116" s="150">
        <v>0</v>
      </c>
      <c r="O116" s="115">
        <f t="shared" si="1"/>
        <v>0</v>
      </c>
    </row>
    <row r="117" spans="2:15">
      <c r="B117" s="149" t="s">
        <v>297</v>
      </c>
      <c r="C117" s="149" t="s">
        <v>298</v>
      </c>
      <c r="D117" s="149" t="s">
        <v>37</v>
      </c>
      <c r="E117" s="149" t="s">
        <v>113</v>
      </c>
      <c r="F117" s="149" t="s">
        <v>299</v>
      </c>
      <c r="G117" s="149" t="s">
        <v>341</v>
      </c>
      <c r="H117" s="149" t="s">
        <v>95</v>
      </c>
      <c r="I117" s="149" t="s">
        <v>405</v>
      </c>
      <c r="J117" s="149" t="s">
        <v>406</v>
      </c>
      <c r="K117" s="149" t="s">
        <v>407</v>
      </c>
      <c r="L117" s="149" t="s">
        <v>96</v>
      </c>
      <c r="M117" s="149" t="s">
        <v>339</v>
      </c>
      <c r="N117" s="150">
        <v>210.06376</v>
      </c>
      <c r="O117" s="115">
        <f t="shared" si="1"/>
        <v>0.21006375999999999</v>
      </c>
    </row>
    <row r="118" spans="2:15">
      <c r="B118" s="149" t="s">
        <v>297</v>
      </c>
      <c r="C118" s="149" t="s">
        <v>298</v>
      </c>
      <c r="D118" s="149" t="s">
        <v>37</v>
      </c>
      <c r="E118" s="149" t="s">
        <v>113</v>
      </c>
      <c r="F118" s="149" t="s">
        <v>299</v>
      </c>
      <c r="G118" s="149" t="s">
        <v>341</v>
      </c>
      <c r="H118" s="149" t="s">
        <v>106</v>
      </c>
      <c r="I118" s="149" t="s">
        <v>405</v>
      </c>
      <c r="J118" s="149" t="s">
        <v>406</v>
      </c>
      <c r="K118" s="149" t="s">
        <v>407</v>
      </c>
      <c r="L118" s="149" t="s">
        <v>96</v>
      </c>
      <c r="M118" s="149" t="s">
        <v>339</v>
      </c>
      <c r="N118" s="150">
        <v>86.099249999999998</v>
      </c>
      <c r="O118" s="115">
        <f t="shared" si="1"/>
        <v>8.6099250000000002E-2</v>
      </c>
    </row>
    <row r="119" spans="2:15">
      <c r="B119" s="149" t="s">
        <v>297</v>
      </c>
      <c r="C119" s="149" t="s">
        <v>298</v>
      </c>
      <c r="D119" s="149" t="s">
        <v>308</v>
      </c>
      <c r="E119" s="149" t="s">
        <v>309</v>
      </c>
      <c r="F119" s="149" t="s">
        <v>299</v>
      </c>
      <c r="G119" s="149" t="s">
        <v>341</v>
      </c>
      <c r="H119" s="149" t="s">
        <v>101</v>
      </c>
      <c r="I119" s="149" t="s">
        <v>405</v>
      </c>
      <c r="J119" s="149" t="s">
        <v>406</v>
      </c>
      <c r="K119" s="149" t="s">
        <v>407</v>
      </c>
      <c r="L119" s="149" t="s">
        <v>96</v>
      </c>
      <c r="M119" s="149" t="s">
        <v>339</v>
      </c>
      <c r="N119" s="150">
        <v>879.61893999999995</v>
      </c>
      <c r="O119" s="115">
        <f t="shared" si="1"/>
        <v>0.87961893999999996</v>
      </c>
    </row>
    <row r="120" spans="2:15">
      <c r="B120" s="149" t="s">
        <v>297</v>
      </c>
      <c r="C120" s="149" t="s">
        <v>298</v>
      </c>
      <c r="D120" s="149" t="s">
        <v>308</v>
      </c>
      <c r="E120" s="149" t="s">
        <v>309</v>
      </c>
      <c r="F120" s="149" t="s">
        <v>299</v>
      </c>
      <c r="G120" s="149" t="s">
        <v>341</v>
      </c>
      <c r="H120" s="149" t="s">
        <v>106</v>
      </c>
      <c r="I120" s="149" t="s">
        <v>405</v>
      </c>
      <c r="J120" s="149" t="s">
        <v>406</v>
      </c>
      <c r="K120" s="149" t="s">
        <v>407</v>
      </c>
      <c r="L120" s="149" t="s">
        <v>96</v>
      </c>
      <c r="M120" s="149" t="s">
        <v>339</v>
      </c>
      <c r="N120" s="150">
        <v>391.82234999999997</v>
      </c>
      <c r="O120" s="115">
        <f t="shared" si="1"/>
        <v>0.39182234999999999</v>
      </c>
    </row>
    <row r="121" spans="2:15">
      <c r="B121" s="149" t="s">
        <v>297</v>
      </c>
      <c r="C121" s="149" t="s">
        <v>298</v>
      </c>
      <c r="D121" s="149" t="s">
        <v>310</v>
      </c>
      <c r="E121" s="149" t="s">
        <v>311</v>
      </c>
      <c r="F121" s="149" t="s">
        <v>299</v>
      </c>
      <c r="G121" s="149" t="s">
        <v>341</v>
      </c>
      <c r="H121" s="149" t="s">
        <v>106</v>
      </c>
      <c r="I121" s="149" t="s">
        <v>405</v>
      </c>
      <c r="J121" s="149" t="s">
        <v>406</v>
      </c>
      <c r="K121" s="149" t="s">
        <v>407</v>
      </c>
      <c r="L121" s="149" t="s">
        <v>96</v>
      </c>
      <c r="M121" s="149" t="s">
        <v>339</v>
      </c>
      <c r="N121" s="150">
        <v>495.50911000000002</v>
      </c>
      <c r="O121" s="115">
        <f t="shared" si="1"/>
        <v>0.49550911000000003</v>
      </c>
    </row>
    <row r="122" spans="2:15">
      <c r="B122" s="149" t="s">
        <v>297</v>
      </c>
      <c r="C122" s="149" t="s">
        <v>298</v>
      </c>
      <c r="D122" s="149" t="s">
        <v>310</v>
      </c>
      <c r="E122" s="149" t="s">
        <v>311</v>
      </c>
      <c r="F122" s="149" t="s">
        <v>299</v>
      </c>
      <c r="G122" s="149" t="s">
        <v>341</v>
      </c>
      <c r="H122" s="149" t="s">
        <v>95</v>
      </c>
      <c r="I122" s="149" t="s">
        <v>405</v>
      </c>
      <c r="J122" s="149" t="s">
        <v>406</v>
      </c>
      <c r="K122" s="149" t="s">
        <v>407</v>
      </c>
      <c r="L122" s="149" t="s">
        <v>96</v>
      </c>
      <c r="M122" s="149" t="s">
        <v>339</v>
      </c>
      <c r="N122" s="150">
        <v>3049.6492600000001</v>
      </c>
      <c r="O122" s="115">
        <f t="shared" si="1"/>
        <v>3.0496492600000003</v>
      </c>
    </row>
    <row r="123" spans="2:15">
      <c r="B123" s="149" t="s">
        <v>297</v>
      </c>
      <c r="C123" s="149" t="s">
        <v>298</v>
      </c>
      <c r="D123" s="149" t="s">
        <v>310</v>
      </c>
      <c r="E123" s="149" t="s">
        <v>311</v>
      </c>
      <c r="F123" s="149" t="s">
        <v>299</v>
      </c>
      <c r="G123" s="149" t="s">
        <v>341</v>
      </c>
      <c r="H123" s="149" t="s">
        <v>101</v>
      </c>
      <c r="I123" s="149" t="s">
        <v>405</v>
      </c>
      <c r="J123" s="149" t="s">
        <v>406</v>
      </c>
      <c r="K123" s="149" t="s">
        <v>407</v>
      </c>
      <c r="L123" s="149" t="s">
        <v>96</v>
      </c>
      <c r="M123" s="149" t="s">
        <v>339</v>
      </c>
      <c r="N123" s="150">
        <v>1051.2772299999999</v>
      </c>
      <c r="O123" s="115">
        <f t="shared" si="1"/>
        <v>1.05127723</v>
      </c>
    </row>
    <row r="124" spans="2:15">
      <c r="B124" s="149" t="s">
        <v>297</v>
      </c>
      <c r="C124" s="149" t="s">
        <v>298</v>
      </c>
      <c r="D124" s="149" t="s">
        <v>35</v>
      </c>
      <c r="E124" s="149" t="s">
        <v>114</v>
      </c>
      <c r="F124" s="149" t="s">
        <v>299</v>
      </c>
      <c r="G124" s="149" t="s">
        <v>341</v>
      </c>
      <c r="H124" s="149" t="s">
        <v>95</v>
      </c>
      <c r="I124" s="149" t="s">
        <v>405</v>
      </c>
      <c r="J124" s="149" t="s">
        <v>406</v>
      </c>
      <c r="K124" s="149" t="s">
        <v>407</v>
      </c>
      <c r="L124" s="149" t="s">
        <v>96</v>
      </c>
      <c r="M124" s="149" t="s">
        <v>339</v>
      </c>
      <c r="N124" s="150">
        <v>829.67587000000003</v>
      </c>
      <c r="O124" s="115">
        <f t="shared" si="1"/>
        <v>0.82967586999999998</v>
      </c>
    </row>
    <row r="125" spans="2:15">
      <c r="B125" s="149" t="s">
        <v>297</v>
      </c>
      <c r="C125" s="149" t="s">
        <v>298</v>
      </c>
      <c r="D125" s="149" t="s">
        <v>312</v>
      </c>
      <c r="E125" s="149" t="s">
        <v>112</v>
      </c>
      <c r="F125" s="149" t="s">
        <v>299</v>
      </c>
      <c r="G125" s="149" t="s">
        <v>341</v>
      </c>
      <c r="H125" s="149" t="s">
        <v>101</v>
      </c>
      <c r="I125" s="149" t="s">
        <v>405</v>
      </c>
      <c r="J125" s="149" t="s">
        <v>406</v>
      </c>
      <c r="K125" s="149" t="s">
        <v>407</v>
      </c>
      <c r="L125" s="149" t="s">
        <v>96</v>
      </c>
      <c r="M125" s="149" t="s">
        <v>339</v>
      </c>
      <c r="N125" s="150">
        <v>39.377009999999999</v>
      </c>
      <c r="O125" s="115">
        <f t="shared" si="1"/>
        <v>3.9377009999999997E-2</v>
      </c>
    </row>
    <row r="126" spans="2:15">
      <c r="B126" s="149" t="s">
        <v>297</v>
      </c>
      <c r="C126" s="149" t="s">
        <v>298</v>
      </c>
      <c r="D126" s="149" t="s">
        <v>35</v>
      </c>
      <c r="E126" s="149" t="s">
        <v>114</v>
      </c>
      <c r="F126" s="149" t="s">
        <v>299</v>
      </c>
      <c r="G126" s="149" t="s">
        <v>341</v>
      </c>
      <c r="H126" s="149" t="s">
        <v>106</v>
      </c>
      <c r="I126" s="149" t="s">
        <v>405</v>
      </c>
      <c r="J126" s="149" t="s">
        <v>406</v>
      </c>
      <c r="K126" s="149" t="s">
        <v>407</v>
      </c>
      <c r="L126" s="149" t="s">
        <v>96</v>
      </c>
      <c r="M126" s="149" t="s">
        <v>339</v>
      </c>
      <c r="N126" s="150">
        <v>62.150080000000003</v>
      </c>
      <c r="O126" s="115">
        <f t="shared" si="1"/>
        <v>6.2150080000000003E-2</v>
      </c>
    </row>
    <row r="127" spans="2:15">
      <c r="B127" s="149" t="s">
        <v>297</v>
      </c>
      <c r="C127" s="149" t="s">
        <v>298</v>
      </c>
      <c r="D127" s="149" t="s">
        <v>312</v>
      </c>
      <c r="E127" s="149" t="s">
        <v>112</v>
      </c>
      <c r="F127" s="149" t="s">
        <v>299</v>
      </c>
      <c r="G127" s="149" t="s">
        <v>341</v>
      </c>
      <c r="H127" s="149" t="s">
        <v>106</v>
      </c>
      <c r="I127" s="149" t="s">
        <v>405</v>
      </c>
      <c r="J127" s="149" t="s">
        <v>406</v>
      </c>
      <c r="K127" s="149" t="s">
        <v>407</v>
      </c>
      <c r="L127" s="149" t="s">
        <v>96</v>
      </c>
      <c r="M127" s="149" t="s">
        <v>339</v>
      </c>
      <c r="N127" s="150">
        <v>65.887699999999995</v>
      </c>
      <c r="O127" s="115">
        <f t="shared" si="1"/>
        <v>6.5887699999999993E-2</v>
      </c>
    </row>
    <row r="128" spans="2:15">
      <c r="B128" s="149" t="s">
        <v>297</v>
      </c>
      <c r="C128" s="149" t="s">
        <v>298</v>
      </c>
      <c r="D128" s="149" t="s">
        <v>312</v>
      </c>
      <c r="E128" s="149" t="s">
        <v>112</v>
      </c>
      <c r="F128" s="149" t="s">
        <v>299</v>
      </c>
      <c r="G128" s="149" t="s">
        <v>341</v>
      </c>
      <c r="H128" s="149" t="s">
        <v>95</v>
      </c>
      <c r="I128" s="149" t="s">
        <v>405</v>
      </c>
      <c r="J128" s="149" t="s">
        <v>406</v>
      </c>
      <c r="K128" s="149" t="s">
        <v>407</v>
      </c>
      <c r="L128" s="149" t="s">
        <v>96</v>
      </c>
      <c r="M128" s="149" t="s">
        <v>339</v>
      </c>
      <c r="N128" s="150">
        <v>52.869149999999998</v>
      </c>
      <c r="O128" s="115">
        <f t="shared" si="1"/>
        <v>5.2869149999999997E-2</v>
      </c>
    </row>
    <row r="129" spans="2:15">
      <c r="B129" s="149" t="s">
        <v>297</v>
      </c>
      <c r="C129" s="149" t="s">
        <v>298</v>
      </c>
      <c r="D129" s="149" t="s">
        <v>33</v>
      </c>
      <c r="E129" s="149" t="s">
        <v>65</v>
      </c>
      <c r="F129" s="149" t="s">
        <v>299</v>
      </c>
      <c r="G129" s="149" t="s">
        <v>341</v>
      </c>
      <c r="H129" s="149" t="s">
        <v>101</v>
      </c>
      <c r="I129" s="149" t="s">
        <v>405</v>
      </c>
      <c r="J129" s="149" t="s">
        <v>406</v>
      </c>
      <c r="K129" s="149" t="s">
        <v>407</v>
      </c>
      <c r="L129" s="149" t="s">
        <v>21</v>
      </c>
      <c r="M129" s="149" t="s">
        <v>339</v>
      </c>
      <c r="N129" s="150">
        <v>0</v>
      </c>
      <c r="O129" s="115">
        <f t="shared" si="1"/>
        <v>0</v>
      </c>
    </row>
    <row r="130" spans="2:15">
      <c r="B130" s="149" t="s">
        <v>297</v>
      </c>
      <c r="C130" s="149" t="s">
        <v>298</v>
      </c>
      <c r="D130" s="149" t="s">
        <v>34</v>
      </c>
      <c r="E130" s="149" t="s">
        <v>62</v>
      </c>
      <c r="F130" s="149" t="s">
        <v>299</v>
      </c>
      <c r="G130" s="149" t="s">
        <v>341</v>
      </c>
      <c r="H130" s="149" t="s">
        <v>101</v>
      </c>
      <c r="I130" s="149" t="s">
        <v>405</v>
      </c>
      <c r="J130" s="149" t="s">
        <v>406</v>
      </c>
      <c r="K130" s="149" t="s">
        <v>407</v>
      </c>
      <c r="L130" s="149" t="s">
        <v>21</v>
      </c>
      <c r="M130" s="149" t="s">
        <v>339</v>
      </c>
      <c r="N130" s="150">
        <v>0</v>
      </c>
      <c r="O130" s="115">
        <f t="shared" si="1"/>
        <v>0</v>
      </c>
    </row>
    <row r="131" spans="2:15">
      <c r="B131" s="149" t="s">
        <v>297</v>
      </c>
      <c r="C131" s="149" t="s">
        <v>298</v>
      </c>
      <c r="D131" s="149" t="s">
        <v>34</v>
      </c>
      <c r="E131" s="149" t="s">
        <v>62</v>
      </c>
      <c r="F131" s="149" t="s">
        <v>299</v>
      </c>
      <c r="G131" s="149" t="s">
        <v>341</v>
      </c>
      <c r="H131" s="149" t="s">
        <v>106</v>
      </c>
      <c r="I131" s="149" t="s">
        <v>405</v>
      </c>
      <c r="J131" s="149" t="s">
        <v>406</v>
      </c>
      <c r="K131" s="149" t="s">
        <v>407</v>
      </c>
      <c r="L131" s="149" t="s">
        <v>21</v>
      </c>
      <c r="M131" s="149" t="s">
        <v>339</v>
      </c>
      <c r="N131" s="150">
        <v>0</v>
      </c>
      <c r="O131" s="115">
        <f t="shared" si="1"/>
        <v>0</v>
      </c>
    </row>
    <row r="132" spans="2:15">
      <c r="B132" s="149" t="s">
        <v>297</v>
      </c>
      <c r="C132" s="149" t="s">
        <v>298</v>
      </c>
      <c r="D132" s="149" t="s">
        <v>34</v>
      </c>
      <c r="E132" s="149" t="s">
        <v>62</v>
      </c>
      <c r="F132" s="149" t="s">
        <v>299</v>
      </c>
      <c r="G132" s="149" t="s">
        <v>341</v>
      </c>
      <c r="H132" s="149" t="s">
        <v>95</v>
      </c>
      <c r="I132" s="149" t="s">
        <v>405</v>
      </c>
      <c r="J132" s="149" t="s">
        <v>406</v>
      </c>
      <c r="K132" s="149" t="s">
        <v>407</v>
      </c>
      <c r="L132" s="149" t="s">
        <v>21</v>
      </c>
      <c r="M132" s="149" t="s">
        <v>339</v>
      </c>
      <c r="N132" s="150">
        <v>0</v>
      </c>
      <c r="O132" s="115">
        <f t="shared" ref="O132:O185" si="2">IF(G132="CH4",N132*25,IF(G132="N2O",N132*298,N132))/1000</f>
        <v>0</v>
      </c>
    </row>
    <row r="133" spans="2:15">
      <c r="B133" s="149" t="s">
        <v>297</v>
      </c>
      <c r="C133" s="149" t="s">
        <v>298</v>
      </c>
      <c r="D133" s="149" t="s">
        <v>33</v>
      </c>
      <c r="E133" s="149" t="s">
        <v>65</v>
      </c>
      <c r="F133" s="149" t="s">
        <v>299</v>
      </c>
      <c r="G133" s="149" t="s">
        <v>341</v>
      </c>
      <c r="H133" s="149" t="s">
        <v>106</v>
      </c>
      <c r="I133" s="149" t="s">
        <v>405</v>
      </c>
      <c r="J133" s="149" t="s">
        <v>406</v>
      </c>
      <c r="K133" s="149" t="s">
        <v>407</v>
      </c>
      <c r="L133" s="149" t="s">
        <v>21</v>
      </c>
      <c r="M133" s="149" t="s">
        <v>339</v>
      </c>
      <c r="N133" s="150">
        <v>0</v>
      </c>
      <c r="O133" s="115">
        <f t="shared" si="2"/>
        <v>0</v>
      </c>
    </row>
    <row r="134" spans="2:15">
      <c r="B134" s="149" t="s">
        <v>297</v>
      </c>
      <c r="C134" s="149" t="s">
        <v>298</v>
      </c>
      <c r="D134" s="149" t="s">
        <v>32</v>
      </c>
      <c r="E134" s="149" t="s">
        <v>111</v>
      </c>
      <c r="F134" s="149" t="s">
        <v>299</v>
      </c>
      <c r="G134" s="149" t="s">
        <v>341</v>
      </c>
      <c r="H134" s="149" t="s">
        <v>101</v>
      </c>
      <c r="I134" s="149" t="s">
        <v>405</v>
      </c>
      <c r="J134" s="149" t="s">
        <v>406</v>
      </c>
      <c r="K134" s="149" t="s">
        <v>407</v>
      </c>
      <c r="L134" s="149" t="s">
        <v>21</v>
      </c>
      <c r="M134" s="149" t="s">
        <v>339</v>
      </c>
      <c r="N134" s="150">
        <v>0</v>
      </c>
      <c r="O134" s="115">
        <f t="shared" si="2"/>
        <v>0</v>
      </c>
    </row>
    <row r="135" spans="2:15">
      <c r="B135" s="149" t="s">
        <v>297</v>
      </c>
      <c r="C135" s="149" t="s">
        <v>298</v>
      </c>
      <c r="D135" s="149" t="s">
        <v>32</v>
      </c>
      <c r="E135" s="149" t="s">
        <v>111</v>
      </c>
      <c r="F135" s="149" t="s">
        <v>299</v>
      </c>
      <c r="G135" s="149" t="s">
        <v>341</v>
      </c>
      <c r="H135" s="149" t="s">
        <v>95</v>
      </c>
      <c r="I135" s="149" t="s">
        <v>405</v>
      </c>
      <c r="J135" s="149" t="s">
        <v>406</v>
      </c>
      <c r="K135" s="149" t="s">
        <v>407</v>
      </c>
      <c r="L135" s="149" t="s">
        <v>21</v>
      </c>
      <c r="M135" s="149" t="s">
        <v>339</v>
      </c>
      <c r="N135" s="150">
        <v>0</v>
      </c>
      <c r="O135" s="115">
        <f t="shared" si="2"/>
        <v>0</v>
      </c>
    </row>
    <row r="136" spans="2:15">
      <c r="B136" s="149" t="s">
        <v>297</v>
      </c>
      <c r="C136" s="149" t="s">
        <v>298</v>
      </c>
      <c r="D136" s="149" t="s">
        <v>31</v>
      </c>
      <c r="E136" s="149" t="s">
        <v>124</v>
      </c>
      <c r="F136" s="149" t="s">
        <v>299</v>
      </c>
      <c r="G136" s="149" t="s">
        <v>341</v>
      </c>
      <c r="H136" s="149" t="s">
        <v>106</v>
      </c>
      <c r="I136" s="149" t="s">
        <v>405</v>
      </c>
      <c r="J136" s="149" t="s">
        <v>406</v>
      </c>
      <c r="K136" s="149" t="s">
        <v>407</v>
      </c>
      <c r="L136" s="149" t="s">
        <v>96</v>
      </c>
      <c r="M136" s="149" t="s">
        <v>339</v>
      </c>
      <c r="N136" s="150">
        <v>103.68675</v>
      </c>
      <c r="O136" s="115">
        <f t="shared" si="2"/>
        <v>0.10368675000000001</v>
      </c>
    </row>
    <row r="137" spans="2:15">
      <c r="B137" s="149" t="s">
        <v>297</v>
      </c>
      <c r="C137" s="149" t="s">
        <v>298</v>
      </c>
      <c r="D137" s="149" t="s">
        <v>30</v>
      </c>
      <c r="E137" s="149" t="s">
        <v>115</v>
      </c>
      <c r="F137" s="149" t="s">
        <v>299</v>
      </c>
      <c r="G137" s="149" t="s">
        <v>341</v>
      </c>
      <c r="H137" s="149" t="s">
        <v>101</v>
      </c>
      <c r="I137" s="149" t="s">
        <v>405</v>
      </c>
      <c r="J137" s="149" t="s">
        <v>406</v>
      </c>
      <c r="K137" s="149" t="s">
        <v>407</v>
      </c>
      <c r="L137" s="149" t="s">
        <v>96</v>
      </c>
      <c r="M137" s="149" t="s">
        <v>339</v>
      </c>
      <c r="N137" s="150">
        <v>99.178870000000003</v>
      </c>
      <c r="O137" s="115">
        <f t="shared" si="2"/>
        <v>9.9178870000000002E-2</v>
      </c>
    </row>
    <row r="138" spans="2:15">
      <c r="B138" s="149" t="s">
        <v>297</v>
      </c>
      <c r="C138" s="149" t="s">
        <v>298</v>
      </c>
      <c r="D138" s="149" t="s">
        <v>30</v>
      </c>
      <c r="E138" s="149" t="s">
        <v>115</v>
      </c>
      <c r="F138" s="149" t="s">
        <v>299</v>
      </c>
      <c r="G138" s="149" t="s">
        <v>341</v>
      </c>
      <c r="H138" s="149" t="s">
        <v>95</v>
      </c>
      <c r="I138" s="149" t="s">
        <v>405</v>
      </c>
      <c r="J138" s="149" t="s">
        <v>406</v>
      </c>
      <c r="K138" s="149" t="s">
        <v>407</v>
      </c>
      <c r="L138" s="149" t="s">
        <v>96</v>
      </c>
      <c r="M138" s="149" t="s">
        <v>339</v>
      </c>
      <c r="N138" s="150">
        <v>212.11027999999999</v>
      </c>
      <c r="O138" s="115">
        <f t="shared" si="2"/>
        <v>0.21211027999999998</v>
      </c>
    </row>
    <row r="139" spans="2:15">
      <c r="B139" s="149" t="s">
        <v>297</v>
      </c>
      <c r="C139" s="149" t="s">
        <v>298</v>
      </c>
      <c r="D139" s="149" t="s">
        <v>28</v>
      </c>
      <c r="E139" s="149" t="s">
        <v>67</v>
      </c>
      <c r="F139" s="149" t="s">
        <v>299</v>
      </c>
      <c r="G139" s="149" t="s">
        <v>341</v>
      </c>
      <c r="H139" s="149" t="s">
        <v>101</v>
      </c>
      <c r="I139" s="149" t="s">
        <v>405</v>
      </c>
      <c r="J139" s="149" t="s">
        <v>406</v>
      </c>
      <c r="K139" s="149" t="s">
        <v>407</v>
      </c>
      <c r="L139" s="149" t="s">
        <v>21</v>
      </c>
      <c r="M139" s="149" t="s">
        <v>339</v>
      </c>
      <c r="N139" s="150">
        <v>0</v>
      </c>
      <c r="O139" s="115">
        <f t="shared" si="2"/>
        <v>0</v>
      </c>
    </row>
    <row r="140" spans="2:15">
      <c r="B140" s="149" t="s">
        <v>297</v>
      </c>
      <c r="C140" s="149" t="s">
        <v>298</v>
      </c>
      <c r="D140" s="149" t="s">
        <v>21</v>
      </c>
      <c r="E140" s="149" t="s">
        <v>126</v>
      </c>
      <c r="F140" s="149" t="s">
        <v>299</v>
      </c>
      <c r="G140" s="149" t="s">
        <v>341</v>
      </c>
      <c r="H140" s="149" t="s">
        <v>95</v>
      </c>
      <c r="I140" s="149" t="s">
        <v>405</v>
      </c>
      <c r="J140" s="149" t="s">
        <v>406</v>
      </c>
      <c r="K140" s="149" t="s">
        <v>407</v>
      </c>
      <c r="L140" s="149" t="s">
        <v>96</v>
      </c>
      <c r="M140" s="149" t="s">
        <v>339</v>
      </c>
      <c r="N140" s="150">
        <v>955.31844999999998</v>
      </c>
      <c r="O140" s="115">
        <f t="shared" si="2"/>
        <v>0.95531844999999993</v>
      </c>
    </row>
    <row r="141" spans="2:15">
      <c r="B141" s="149" t="s">
        <v>297</v>
      </c>
      <c r="C141" s="149" t="s">
        <v>298</v>
      </c>
      <c r="D141" s="149" t="s">
        <v>19</v>
      </c>
      <c r="E141" s="149" t="s">
        <v>69</v>
      </c>
      <c r="F141" s="149" t="s">
        <v>299</v>
      </c>
      <c r="G141" s="149" t="s">
        <v>341</v>
      </c>
      <c r="H141" s="149" t="s">
        <v>106</v>
      </c>
      <c r="I141" s="149" t="s">
        <v>405</v>
      </c>
      <c r="J141" s="149" t="s">
        <v>406</v>
      </c>
      <c r="K141" s="149" t="s">
        <v>407</v>
      </c>
      <c r="L141" s="149" t="s">
        <v>21</v>
      </c>
      <c r="M141" s="149" t="s">
        <v>339</v>
      </c>
      <c r="N141" s="150">
        <v>0</v>
      </c>
      <c r="O141" s="115">
        <f t="shared" si="2"/>
        <v>0</v>
      </c>
    </row>
    <row r="142" spans="2:15">
      <c r="B142" s="149" t="s">
        <v>297</v>
      </c>
      <c r="C142" s="149" t="s">
        <v>298</v>
      </c>
      <c r="D142" s="149" t="s">
        <v>18</v>
      </c>
      <c r="E142" s="149" t="s">
        <v>70</v>
      </c>
      <c r="F142" s="149" t="s">
        <v>299</v>
      </c>
      <c r="G142" s="149" t="s">
        <v>341</v>
      </c>
      <c r="H142" s="149" t="s">
        <v>95</v>
      </c>
      <c r="I142" s="149" t="s">
        <v>405</v>
      </c>
      <c r="J142" s="149" t="s">
        <v>406</v>
      </c>
      <c r="K142" s="149" t="s">
        <v>407</v>
      </c>
      <c r="L142" s="149" t="s">
        <v>96</v>
      </c>
      <c r="M142" s="149" t="s">
        <v>339</v>
      </c>
      <c r="N142" s="150">
        <v>95.279439999999994</v>
      </c>
      <c r="O142" s="115">
        <f t="shared" si="2"/>
        <v>9.5279439999999993E-2</v>
      </c>
    </row>
    <row r="143" spans="2:15">
      <c r="B143" s="149" t="s">
        <v>297</v>
      </c>
      <c r="C143" s="149" t="s">
        <v>298</v>
      </c>
      <c r="D143" s="149" t="s">
        <v>20</v>
      </c>
      <c r="E143" s="149" t="s">
        <v>68</v>
      </c>
      <c r="F143" s="149" t="s">
        <v>299</v>
      </c>
      <c r="G143" s="149" t="s">
        <v>341</v>
      </c>
      <c r="H143" s="149" t="s">
        <v>95</v>
      </c>
      <c r="I143" s="149" t="s">
        <v>405</v>
      </c>
      <c r="J143" s="149" t="s">
        <v>406</v>
      </c>
      <c r="K143" s="149" t="s">
        <v>407</v>
      </c>
      <c r="L143" s="149" t="s">
        <v>96</v>
      </c>
      <c r="M143" s="149" t="s">
        <v>339</v>
      </c>
      <c r="N143" s="150">
        <v>165.34709000000001</v>
      </c>
      <c r="O143" s="115">
        <f t="shared" si="2"/>
        <v>0.16534709</v>
      </c>
    </row>
    <row r="144" spans="2:15">
      <c r="B144" s="149" t="s">
        <v>297</v>
      </c>
      <c r="C144" s="149" t="s">
        <v>298</v>
      </c>
      <c r="D144" s="149" t="s">
        <v>16</v>
      </c>
      <c r="E144" s="149" t="s">
        <v>122</v>
      </c>
      <c r="F144" s="149" t="s">
        <v>299</v>
      </c>
      <c r="G144" s="149" t="s">
        <v>341</v>
      </c>
      <c r="H144" s="149" t="s">
        <v>95</v>
      </c>
      <c r="I144" s="149" t="s">
        <v>405</v>
      </c>
      <c r="J144" s="149" t="s">
        <v>406</v>
      </c>
      <c r="K144" s="149" t="s">
        <v>407</v>
      </c>
      <c r="L144" s="149" t="s">
        <v>96</v>
      </c>
      <c r="M144" s="149" t="s">
        <v>339</v>
      </c>
      <c r="N144" s="150">
        <v>400.85869000000002</v>
      </c>
      <c r="O144" s="115">
        <f t="shared" si="2"/>
        <v>0.40085869000000002</v>
      </c>
    </row>
    <row r="145" spans="2:15">
      <c r="B145" s="149" t="s">
        <v>297</v>
      </c>
      <c r="C145" s="149" t="s">
        <v>298</v>
      </c>
      <c r="D145" s="149" t="s">
        <v>16</v>
      </c>
      <c r="E145" s="149" t="s">
        <v>122</v>
      </c>
      <c r="F145" s="149" t="s">
        <v>299</v>
      </c>
      <c r="G145" s="149" t="s">
        <v>341</v>
      </c>
      <c r="H145" s="149" t="s">
        <v>106</v>
      </c>
      <c r="I145" s="149" t="s">
        <v>405</v>
      </c>
      <c r="J145" s="149" t="s">
        <v>406</v>
      </c>
      <c r="K145" s="149" t="s">
        <v>407</v>
      </c>
      <c r="L145" s="149" t="s">
        <v>96</v>
      </c>
      <c r="M145" s="149" t="s">
        <v>339</v>
      </c>
      <c r="N145" s="150">
        <v>34.201500000000003</v>
      </c>
      <c r="O145" s="115">
        <f t="shared" si="2"/>
        <v>3.4201500000000003E-2</v>
      </c>
    </row>
    <row r="146" spans="2:15">
      <c r="B146" s="149" t="s">
        <v>297</v>
      </c>
      <c r="C146" s="149" t="s">
        <v>298</v>
      </c>
      <c r="D146" s="149" t="s">
        <v>14</v>
      </c>
      <c r="E146" s="149" t="s">
        <v>71</v>
      </c>
      <c r="F146" s="149" t="s">
        <v>299</v>
      </c>
      <c r="G146" s="149" t="s">
        <v>341</v>
      </c>
      <c r="H146" s="149" t="s">
        <v>95</v>
      </c>
      <c r="I146" s="149" t="s">
        <v>405</v>
      </c>
      <c r="J146" s="149" t="s">
        <v>406</v>
      </c>
      <c r="K146" s="149" t="s">
        <v>407</v>
      </c>
      <c r="L146" s="149" t="s">
        <v>96</v>
      </c>
      <c r="M146" s="149" t="s">
        <v>339</v>
      </c>
      <c r="N146" s="150">
        <v>23.715260000000001</v>
      </c>
      <c r="O146" s="115">
        <f t="shared" si="2"/>
        <v>2.3715260000000002E-2</v>
      </c>
    </row>
    <row r="147" spans="2:15">
      <c r="B147" s="149" t="s">
        <v>297</v>
      </c>
      <c r="C147" s="149" t="s">
        <v>298</v>
      </c>
      <c r="D147" s="149" t="s">
        <v>14</v>
      </c>
      <c r="E147" s="149" t="s">
        <v>71</v>
      </c>
      <c r="F147" s="149" t="s">
        <v>299</v>
      </c>
      <c r="G147" s="149" t="s">
        <v>341</v>
      </c>
      <c r="H147" s="149" t="s">
        <v>101</v>
      </c>
      <c r="I147" s="149" t="s">
        <v>405</v>
      </c>
      <c r="J147" s="149" t="s">
        <v>406</v>
      </c>
      <c r="K147" s="149" t="s">
        <v>407</v>
      </c>
      <c r="L147" s="149" t="s">
        <v>96</v>
      </c>
      <c r="M147" s="149" t="s">
        <v>339</v>
      </c>
      <c r="N147" s="150">
        <v>25.011839999999999</v>
      </c>
      <c r="O147" s="115">
        <f t="shared" si="2"/>
        <v>2.501184E-2</v>
      </c>
    </row>
    <row r="148" spans="2:15">
      <c r="B148" s="149" t="s">
        <v>297</v>
      </c>
      <c r="C148" s="149" t="s">
        <v>298</v>
      </c>
      <c r="D148" s="149" t="s">
        <v>16</v>
      </c>
      <c r="E148" s="149" t="s">
        <v>122</v>
      </c>
      <c r="F148" s="149" t="s">
        <v>299</v>
      </c>
      <c r="G148" s="149" t="s">
        <v>341</v>
      </c>
      <c r="H148" s="149" t="s">
        <v>101</v>
      </c>
      <c r="I148" s="149" t="s">
        <v>405</v>
      </c>
      <c r="J148" s="149" t="s">
        <v>406</v>
      </c>
      <c r="K148" s="149" t="s">
        <v>407</v>
      </c>
      <c r="L148" s="149" t="s">
        <v>96</v>
      </c>
      <c r="M148" s="149" t="s">
        <v>339</v>
      </c>
      <c r="N148" s="150">
        <v>184.37842000000001</v>
      </c>
      <c r="O148" s="115">
        <f t="shared" si="2"/>
        <v>0.18437842000000002</v>
      </c>
    </row>
    <row r="149" spans="2:15">
      <c r="B149" s="149" t="s">
        <v>297</v>
      </c>
      <c r="C149" s="149" t="s">
        <v>298</v>
      </c>
      <c r="D149" s="149" t="s">
        <v>14</v>
      </c>
      <c r="E149" s="149" t="s">
        <v>71</v>
      </c>
      <c r="F149" s="149" t="s">
        <v>299</v>
      </c>
      <c r="G149" s="149" t="s">
        <v>341</v>
      </c>
      <c r="H149" s="149" t="s">
        <v>106</v>
      </c>
      <c r="I149" s="149" t="s">
        <v>405</v>
      </c>
      <c r="J149" s="149" t="s">
        <v>406</v>
      </c>
      <c r="K149" s="149" t="s">
        <v>407</v>
      </c>
      <c r="L149" s="149" t="s">
        <v>96</v>
      </c>
      <c r="M149" s="149" t="s">
        <v>339</v>
      </c>
      <c r="N149" s="150">
        <v>8.5042000000000009</v>
      </c>
      <c r="O149" s="115">
        <f t="shared" si="2"/>
        <v>8.5042000000000017E-3</v>
      </c>
    </row>
    <row r="150" spans="2:15">
      <c r="B150" s="149" t="s">
        <v>297</v>
      </c>
      <c r="C150" s="149" t="s">
        <v>298</v>
      </c>
      <c r="D150" s="149" t="s">
        <v>15</v>
      </c>
      <c r="E150" s="149" t="s">
        <v>72</v>
      </c>
      <c r="F150" s="149" t="s">
        <v>299</v>
      </c>
      <c r="G150" s="149" t="s">
        <v>341</v>
      </c>
      <c r="H150" s="149" t="s">
        <v>95</v>
      </c>
      <c r="I150" s="149" t="s">
        <v>405</v>
      </c>
      <c r="J150" s="149" t="s">
        <v>406</v>
      </c>
      <c r="K150" s="149" t="s">
        <v>407</v>
      </c>
      <c r="L150" s="149" t="s">
        <v>96</v>
      </c>
      <c r="M150" s="149" t="s">
        <v>339</v>
      </c>
      <c r="N150" s="150">
        <v>142.12889999999999</v>
      </c>
      <c r="O150" s="115">
        <f t="shared" si="2"/>
        <v>0.14212889999999997</v>
      </c>
    </row>
    <row r="151" spans="2:15">
      <c r="B151" s="149" t="s">
        <v>297</v>
      </c>
      <c r="C151" s="149" t="s">
        <v>298</v>
      </c>
      <c r="D151" s="149" t="s">
        <v>15</v>
      </c>
      <c r="E151" s="149" t="s">
        <v>72</v>
      </c>
      <c r="F151" s="149" t="s">
        <v>299</v>
      </c>
      <c r="G151" s="149" t="s">
        <v>341</v>
      </c>
      <c r="H151" s="149" t="s">
        <v>101</v>
      </c>
      <c r="I151" s="149" t="s">
        <v>405</v>
      </c>
      <c r="J151" s="149" t="s">
        <v>406</v>
      </c>
      <c r="K151" s="149" t="s">
        <v>407</v>
      </c>
      <c r="L151" s="149" t="s">
        <v>96</v>
      </c>
      <c r="M151" s="149" t="s">
        <v>339</v>
      </c>
      <c r="N151" s="150">
        <v>9.6397999999999993</v>
      </c>
      <c r="O151" s="115">
        <f t="shared" si="2"/>
        <v>9.6397999999999987E-3</v>
      </c>
    </row>
    <row r="152" spans="2:15">
      <c r="B152" s="149" t="s">
        <v>297</v>
      </c>
      <c r="C152" s="149" t="s">
        <v>298</v>
      </c>
      <c r="D152" s="149" t="s">
        <v>314</v>
      </c>
      <c r="E152" s="149" t="s">
        <v>147</v>
      </c>
      <c r="F152" s="149" t="s">
        <v>299</v>
      </c>
      <c r="G152" s="149" t="s">
        <v>341</v>
      </c>
      <c r="H152" s="149" t="s">
        <v>95</v>
      </c>
      <c r="I152" s="149" t="s">
        <v>405</v>
      </c>
      <c r="J152" s="149" t="s">
        <v>406</v>
      </c>
      <c r="K152" s="149" t="s">
        <v>407</v>
      </c>
      <c r="L152" s="149" t="s">
        <v>96</v>
      </c>
      <c r="M152" s="149" t="s">
        <v>339</v>
      </c>
      <c r="N152" s="150">
        <v>559.96618999999998</v>
      </c>
      <c r="O152" s="115">
        <f t="shared" si="2"/>
        <v>0.55996619000000003</v>
      </c>
    </row>
    <row r="153" spans="2:15">
      <c r="B153" s="149" t="s">
        <v>297</v>
      </c>
      <c r="C153" s="149" t="s">
        <v>298</v>
      </c>
      <c r="D153" s="149" t="s">
        <v>314</v>
      </c>
      <c r="E153" s="149" t="s">
        <v>147</v>
      </c>
      <c r="F153" s="149" t="s">
        <v>299</v>
      </c>
      <c r="G153" s="149" t="s">
        <v>341</v>
      </c>
      <c r="H153" s="149" t="s">
        <v>101</v>
      </c>
      <c r="I153" s="149" t="s">
        <v>405</v>
      </c>
      <c r="J153" s="149" t="s">
        <v>406</v>
      </c>
      <c r="K153" s="149" t="s">
        <v>407</v>
      </c>
      <c r="L153" s="149" t="s">
        <v>96</v>
      </c>
      <c r="M153" s="149" t="s">
        <v>339</v>
      </c>
      <c r="N153" s="150">
        <v>513.88273000000004</v>
      </c>
      <c r="O153" s="115">
        <f t="shared" si="2"/>
        <v>0.51388273000000007</v>
      </c>
    </row>
    <row r="154" spans="2:15">
      <c r="B154" s="149" t="s">
        <v>297</v>
      </c>
      <c r="C154" s="149" t="s">
        <v>298</v>
      </c>
      <c r="D154" s="149" t="s">
        <v>13</v>
      </c>
      <c r="E154" s="149" t="s">
        <v>315</v>
      </c>
      <c r="F154" s="149" t="s">
        <v>299</v>
      </c>
      <c r="G154" s="149" t="s">
        <v>341</v>
      </c>
      <c r="H154" s="149" t="s">
        <v>101</v>
      </c>
      <c r="I154" s="149" t="s">
        <v>405</v>
      </c>
      <c r="J154" s="149" t="s">
        <v>406</v>
      </c>
      <c r="K154" s="149" t="s">
        <v>407</v>
      </c>
      <c r="L154" s="149" t="s">
        <v>96</v>
      </c>
      <c r="M154" s="149" t="s">
        <v>339</v>
      </c>
      <c r="N154" s="150">
        <v>131.95410999999999</v>
      </c>
      <c r="O154" s="115">
        <f t="shared" si="2"/>
        <v>0.13195410999999999</v>
      </c>
    </row>
    <row r="155" spans="2:15">
      <c r="B155" s="149" t="s">
        <v>297</v>
      </c>
      <c r="C155" s="149" t="s">
        <v>298</v>
      </c>
      <c r="D155" s="149" t="s">
        <v>41</v>
      </c>
      <c r="E155" s="149" t="s">
        <v>110</v>
      </c>
      <c r="F155" s="149" t="s">
        <v>299</v>
      </c>
      <c r="G155" s="149" t="s">
        <v>341</v>
      </c>
      <c r="H155" s="149" t="s">
        <v>106</v>
      </c>
      <c r="I155" s="149" t="s">
        <v>405</v>
      </c>
      <c r="J155" s="149" t="s">
        <v>406</v>
      </c>
      <c r="K155" s="149" t="s">
        <v>407</v>
      </c>
      <c r="L155" s="149" t="s">
        <v>96</v>
      </c>
      <c r="M155" s="149" t="s">
        <v>339</v>
      </c>
      <c r="N155" s="150">
        <v>94.901560000000003</v>
      </c>
      <c r="O155" s="115">
        <f t="shared" si="2"/>
        <v>9.490156000000001E-2</v>
      </c>
    </row>
    <row r="156" spans="2:15">
      <c r="B156" s="149" t="s">
        <v>297</v>
      </c>
      <c r="C156" s="149" t="s">
        <v>298</v>
      </c>
      <c r="D156" s="149" t="s">
        <v>40</v>
      </c>
      <c r="E156" s="149" t="s">
        <v>109</v>
      </c>
      <c r="F156" s="149" t="s">
        <v>299</v>
      </c>
      <c r="G156" s="149" t="s">
        <v>341</v>
      </c>
      <c r="H156" s="149" t="s">
        <v>101</v>
      </c>
      <c r="I156" s="149" t="s">
        <v>405</v>
      </c>
      <c r="J156" s="149" t="s">
        <v>406</v>
      </c>
      <c r="K156" s="149" t="s">
        <v>407</v>
      </c>
      <c r="L156" s="149" t="s">
        <v>21</v>
      </c>
      <c r="M156" s="149" t="s">
        <v>339</v>
      </c>
      <c r="N156" s="150">
        <v>0</v>
      </c>
      <c r="O156" s="115">
        <f t="shared" si="2"/>
        <v>0</v>
      </c>
    </row>
    <row r="157" spans="2:15">
      <c r="B157" s="149" t="s">
        <v>297</v>
      </c>
      <c r="C157" s="149" t="s">
        <v>298</v>
      </c>
      <c r="D157" s="149" t="s">
        <v>37</v>
      </c>
      <c r="E157" s="149" t="s">
        <v>113</v>
      </c>
      <c r="F157" s="149" t="s">
        <v>299</v>
      </c>
      <c r="G157" s="149" t="s">
        <v>341</v>
      </c>
      <c r="H157" s="149" t="s">
        <v>101</v>
      </c>
      <c r="I157" s="149" t="s">
        <v>405</v>
      </c>
      <c r="J157" s="149" t="s">
        <v>406</v>
      </c>
      <c r="K157" s="149" t="s">
        <v>407</v>
      </c>
      <c r="L157" s="149" t="s">
        <v>96</v>
      </c>
      <c r="M157" s="149" t="s">
        <v>339</v>
      </c>
      <c r="N157" s="150">
        <v>104.41501</v>
      </c>
      <c r="O157" s="115">
        <f t="shared" si="2"/>
        <v>0.10441500999999999</v>
      </c>
    </row>
    <row r="158" spans="2:15">
      <c r="B158" s="149" t="s">
        <v>297</v>
      </c>
      <c r="C158" s="149" t="s">
        <v>298</v>
      </c>
      <c r="D158" s="149" t="s">
        <v>44</v>
      </c>
      <c r="E158" s="149" t="s">
        <v>127</v>
      </c>
      <c r="F158" s="149" t="s">
        <v>299</v>
      </c>
      <c r="G158" s="149" t="s">
        <v>341</v>
      </c>
      <c r="H158" s="149" t="s">
        <v>106</v>
      </c>
      <c r="I158" s="149" t="s">
        <v>405</v>
      </c>
      <c r="J158" s="149" t="s">
        <v>406</v>
      </c>
      <c r="K158" s="149" t="s">
        <v>407</v>
      </c>
      <c r="L158" s="149" t="s">
        <v>21</v>
      </c>
      <c r="M158" s="149" t="s">
        <v>339</v>
      </c>
      <c r="N158" s="150">
        <v>0</v>
      </c>
      <c r="O158" s="115">
        <f t="shared" si="2"/>
        <v>0</v>
      </c>
    </row>
    <row r="159" spans="2:15">
      <c r="B159" s="149" t="s">
        <v>297</v>
      </c>
      <c r="C159" s="149" t="s">
        <v>298</v>
      </c>
      <c r="D159" s="149" t="s">
        <v>44</v>
      </c>
      <c r="E159" s="149" t="s">
        <v>127</v>
      </c>
      <c r="F159" s="149" t="s">
        <v>299</v>
      </c>
      <c r="G159" s="149" t="s">
        <v>341</v>
      </c>
      <c r="H159" s="149" t="s">
        <v>101</v>
      </c>
      <c r="I159" s="149" t="s">
        <v>405</v>
      </c>
      <c r="J159" s="149" t="s">
        <v>406</v>
      </c>
      <c r="K159" s="149" t="s">
        <v>407</v>
      </c>
      <c r="L159" s="149" t="s">
        <v>21</v>
      </c>
      <c r="M159" s="149" t="s">
        <v>339</v>
      </c>
      <c r="N159" s="150">
        <v>0</v>
      </c>
      <c r="O159" s="115">
        <f t="shared" si="2"/>
        <v>0</v>
      </c>
    </row>
    <row r="160" spans="2:15">
      <c r="B160" s="149" t="s">
        <v>297</v>
      </c>
      <c r="C160" s="149" t="s">
        <v>298</v>
      </c>
      <c r="D160" s="149" t="s">
        <v>32</v>
      </c>
      <c r="E160" s="149" t="s">
        <v>111</v>
      </c>
      <c r="F160" s="149" t="s">
        <v>299</v>
      </c>
      <c r="G160" s="149" t="s">
        <v>341</v>
      </c>
      <c r="H160" s="149" t="s">
        <v>106</v>
      </c>
      <c r="I160" s="149" t="s">
        <v>405</v>
      </c>
      <c r="J160" s="149" t="s">
        <v>406</v>
      </c>
      <c r="K160" s="149" t="s">
        <v>407</v>
      </c>
      <c r="L160" s="149" t="s">
        <v>21</v>
      </c>
      <c r="M160" s="149" t="s">
        <v>339</v>
      </c>
      <c r="N160" s="150">
        <v>0</v>
      </c>
      <c r="O160" s="115">
        <f t="shared" si="2"/>
        <v>0</v>
      </c>
    </row>
    <row r="161" spans="2:15">
      <c r="B161" s="149" t="s">
        <v>297</v>
      </c>
      <c r="C161" s="149" t="s">
        <v>298</v>
      </c>
      <c r="D161" s="149" t="s">
        <v>31</v>
      </c>
      <c r="E161" s="149" t="s">
        <v>124</v>
      </c>
      <c r="F161" s="149" t="s">
        <v>299</v>
      </c>
      <c r="G161" s="149" t="s">
        <v>341</v>
      </c>
      <c r="H161" s="149" t="s">
        <v>101</v>
      </c>
      <c r="I161" s="149" t="s">
        <v>405</v>
      </c>
      <c r="J161" s="149" t="s">
        <v>406</v>
      </c>
      <c r="K161" s="149" t="s">
        <v>407</v>
      </c>
      <c r="L161" s="149" t="s">
        <v>96</v>
      </c>
      <c r="M161" s="149" t="s">
        <v>339</v>
      </c>
      <c r="N161" s="150">
        <v>171.65828999999999</v>
      </c>
      <c r="O161" s="115">
        <f t="shared" si="2"/>
        <v>0.17165828999999999</v>
      </c>
    </row>
    <row r="162" spans="2:15">
      <c r="B162" s="149" t="s">
        <v>297</v>
      </c>
      <c r="C162" s="149" t="s">
        <v>298</v>
      </c>
      <c r="D162" s="149" t="s">
        <v>40</v>
      </c>
      <c r="E162" s="149" t="s">
        <v>109</v>
      </c>
      <c r="F162" s="149" t="s">
        <v>299</v>
      </c>
      <c r="G162" s="149" t="s">
        <v>341</v>
      </c>
      <c r="H162" s="149" t="s">
        <v>95</v>
      </c>
      <c r="I162" s="149" t="s">
        <v>405</v>
      </c>
      <c r="J162" s="149" t="s">
        <v>406</v>
      </c>
      <c r="K162" s="149" t="s">
        <v>407</v>
      </c>
      <c r="L162" s="149" t="s">
        <v>21</v>
      </c>
      <c r="M162" s="149" t="s">
        <v>339</v>
      </c>
      <c r="N162" s="150">
        <v>0</v>
      </c>
      <c r="O162" s="115">
        <f t="shared" si="2"/>
        <v>0</v>
      </c>
    </row>
    <row r="163" spans="2:15">
      <c r="B163" s="149" t="s">
        <v>297</v>
      </c>
      <c r="C163" s="149" t="s">
        <v>298</v>
      </c>
      <c r="D163" s="149" t="s">
        <v>30</v>
      </c>
      <c r="E163" s="149" t="s">
        <v>115</v>
      </c>
      <c r="F163" s="149" t="s">
        <v>299</v>
      </c>
      <c r="G163" s="149" t="s">
        <v>341</v>
      </c>
      <c r="H163" s="149" t="s">
        <v>106</v>
      </c>
      <c r="I163" s="149" t="s">
        <v>405</v>
      </c>
      <c r="J163" s="149" t="s">
        <v>406</v>
      </c>
      <c r="K163" s="149" t="s">
        <v>407</v>
      </c>
      <c r="L163" s="149" t="s">
        <v>21</v>
      </c>
      <c r="M163" s="149" t="s">
        <v>339</v>
      </c>
      <c r="N163" s="150">
        <v>0</v>
      </c>
      <c r="O163" s="115">
        <f t="shared" si="2"/>
        <v>0</v>
      </c>
    </row>
    <row r="164" spans="2:15">
      <c r="B164" s="149" t="s">
        <v>297</v>
      </c>
      <c r="C164" s="149" t="s">
        <v>298</v>
      </c>
      <c r="D164" s="149" t="s">
        <v>28</v>
      </c>
      <c r="E164" s="149" t="s">
        <v>67</v>
      </c>
      <c r="F164" s="149" t="s">
        <v>299</v>
      </c>
      <c r="G164" s="149" t="s">
        <v>341</v>
      </c>
      <c r="H164" s="149" t="s">
        <v>95</v>
      </c>
      <c r="I164" s="149" t="s">
        <v>405</v>
      </c>
      <c r="J164" s="149" t="s">
        <v>406</v>
      </c>
      <c r="K164" s="149" t="s">
        <v>407</v>
      </c>
      <c r="L164" s="149" t="s">
        <v>21</v>
      </c>
      <c r="M164" s="149" t="s">
        <v>339</v>
      </c>
      <c r="N164" s="150">
        <v>0</v>
      </c>
      <c r="O164" s="115">
        <f t="shared" si="2"/>
        <v>0</v>
      </c>
    </row>
    <row r="165" spans="2:15">
      <c r="B165" s="149" t="s">
        <v>297</v>
      </c>
      <c r="C165" s="149" t="s">
        <v>298</v>
      </c>
      <c r="D165" s="149" t="s">
        <v>308</v>
      </c>
      <c r="E165" s="149" t="s">
        <v>309</v>
      </c>
      <c r="F165" s="149" t="s">
        <v>299</v>
      </c>
      <c r="G165" s="149" t="s">
        <v>341</v>
      </c>
      <c r="H165" s="149" t="s">
        <v>95</v>
      </c>
      <c r="I165" s="149" t="s">
        <v>405</v>
      </c>
      <c r="J165" s="149" t="s">
        <v>406</v>
      </c>
      <c r="K165" s="149" t="s">
        <v>407</v>
      </c>
      <c r="L165" s="149" t="s">
        <v>96</v>
      </c>
      <c r="M165" s="149" t="s">
        <v>339</v>
      </c>
      <c r="N165" s="150">
        <v>3018.8909899999999</v>
      </c>
      <c r="O165" s="115">
        <f t="shared" si="2"/>
        <v>3.0188909900000001</v>
      </c>
    </row>
    <row r="166" spans="2:15">
      <c r="B166" s="149" t="s">
        <v>297</v>
      </c>
      <c r="C166" s="149" t="s">
        <v>298</v>
      </c>
      <c r="D166" s="149" t="s">
        <v>22</v>
      </c>
      <c r="E166" s="149" t="s">
        <v>119</v>
      </c>
      <c r="F166" s="149" t="s">
        <v>299</v>
      </c>
      <c r="G166" s="149" t="s">
        <v>341</v>
      </c>
      <c r="H166" s="149" t="s">
        <v>95</v>
      </c>
      <c r="I166" s="149" t="s">
        <v>405</v>
      </c>
      <c r="J166" s="149" t="s">
        <v>406</v>
      </c>
      <c r="K166" s="149" t="s">
        <v>407</v>
      </c>
      <c r="L166" s="149" t="s">
        <v>96</v>
      </c>
      <c r="M166" s="149" t="s">
        <v>339</v>
      </c>
      <c r="N166" s="150">
        <v>102.00696000000001</v>
      </c>
      <c r="O166" s="115">
        <f t="shared" si="2"/>
        <v>0.10200696000000001</v>
      </c>
    </row>
    <row r="167" spans="2:15">
      <c r="B167" s="149" t="s">
        <v>297</v>
      </c>
      <c r="C167" s="149" t="s">
        <v>298</v>
      </c>
      <c r="D167" s="149" t="s">
        <v>22</v>
      </c>
      <c r="E167" s="149" t="s">
        <v>119</v>
      </c>
      <c r="F167" s="149" t="s">
        <v>299</v>
      </c>
      <c r="G167" s="149" t="s">
        <v>341</v>
      </c>
      <c r="H167" s="149" t="s">
        <v>106</v>
      </c>
      <c r="I167" s="149" t="s">
        <v>405</v>
      </c>
      <c r="J167" s="149" t="s">
        <v>406</v>
      </c>
      <c r="K167" s="149" t="s">
        <v>407</v>
      </c>
      <c r="L167" s="149" t="s">
        <v>96</v>
      </c>
      <c r="M167" s="149" t="s">
        <v>339</v>
      </c>
      <c r="N167" s="150">
        <v>6.5026700000000002</v>
      </c>
      <c r="O167" s="115">
        <f t="shared" si="2"/>
        <v>6.5026700000000003E-3</v>
      </c>
    </row>
    <row r="168" spans="2:15">
      <c r="B168" s="149" t="s">
        <v>297</v>
      </c>
      <c r="C168" s="149" t="s">
        <v>298</v>
      </c>
      <c r="D168" s="149" t="s">
        <v>21</v>
      </c>
      <c r="E168" s="149" t="s">
        <v>126</v>
      </c>
      <c r="F168" s="149" t="s">
        <v>299</v>
      </c>
      <c r="G168" s="149" t="s">
        <v>341</v>
      </c>
      <c r="H168" s="149" t="s">
        <v>106</v>
      </c>
      <c r="I168" s="149" t="s">
        <v>405</v>
      </c>
      <c r="J168" s="149" t="s">
        <v>406</v>
      </c>
      <c r="K168" s="149" t="s">
        <v>407</v>
      </c>
      <c r="L168" s="149" t="s">
        <v>96</v>
      </c>
      <c r="M168" s="149" t="s">
        <v>339</v>
      </c>
      <c r="N168" s="150">
        <v>146.38838000000001</v>
      </c>
      <c r="O168" s="115">
        <f t="shared" si="2"/>
        <v>0.14638838000000001</v>
      </c>
    </row>
    <row r="169" spans="2:15">
      <c r="B169" s="149" t="s">
        <v>297</v>
      </c>
      <c r="C169" s="149" t="s">
        <v>298</v>
      </c>
      <c r="D169" s="149" t="s">
        <v>20</v>
      </c>
      <c r="E169" s="149" t="s">
        <v>68</v>
      </c>
      <c r="F169" s="149" t="s">
        <v>299</v>
      </c>
      <c r="G169" s="149" t="s">
        <v>341</v>
      </c>
      <c r="H169" s="149" t="s">
        <v>101</v>
      </c>
      <c r="I169" s="149" t="s">
        <v>405</v>
      </c>
      <c r="J169" s="149" t="s">
        <v>406</v>
      </c>
      <c r="K169" s="149" t="s">
        <v>407</v>
      </c>
      <c r="L169" s="149" t="s">
        <v>21</v>
      </c>
      <c r="M169" s="149" t="s">
        <v>339</v>
      </c>
      <c r="N169" s="150">
        <v>0</v>
      </c>
      <c r="O169" s="115">
        <f t="shared" si="2"/>
        <v>0</v>
      </c>
    </row>
    <row r="170" spans="2:15">
      <c r="B170" s="149" t="s">
        <v>297</v>
      </c>
      <c r="C170" s="149" t="s">
        <v>298</v>
      </c>
      <c r="D170" s="149" t="s">
        <v>20</v>
      </c>
      <c r="E170" s="149" t="s">
        <v>68</v>
      </c>
      <c r="F170" s="149" t="s">
        <v>299</v>
      </c>
      <c r="G170" s="149" t="s">
        <v>341</v>
      </c>
      <c r="H170" s="149" t="s">
        <v>106</v>
      </c>
      <c r="I170" s="149" t="s">
        <v>405</v>
      </c>
      <c r="J170" s="149" t="s">
        <v>406</v>
      </c>
      <c r="K170" s="149" t="s">
        <v>407</v>
      </c>
      <c r="L170" s="149" t="s">
        <v>21</v>
      </c>
      <c r="M170" s="149" t="s">
        <v>339</v>
      </c>
      <c r="N170" s="150">
        <v>0</v>
      </c>
      <c r="O170" s="115">
        <f t="shared" si="2"/>
        <v>0</v>
      </c>
    </row>
    <row r="171" spans="2:15">
      <c r="B171" s="149" t="s">
        <v>297</v>
      </c>
      <c r="C171" s="149" t="s">
        <v>298</v>
      </c>
      <c r="D171" s="149" t="s">
        <v>36</v>
      </c>
      <c r="E171" s="149" t="s">
        <v>121</v>
      </c>
      <c r="F171" s="149" t="s">
        <v>299</v>
      </c>
      <c r="G171" s="149" t="s">
        <v>341</v>
      </c>
      <c r="H171" s="149" t="s">
        <v>95</v>
      </c>
      <c r="I171" s="149" t="s">
        <v>405</v>
      </c>
      <c r="J171" s="149" t="s">
        <v>406</v>
      </c>
      <c r="K171" s="149" t="s">
        <v>407</v>
      </c>
      <c r="L171" s="149" t="s">
        <v>21</v>
      </c>
      <c r="M171" s="149" t="s">
        <v>339</v>
      </c>
      <c r="N171" s="150">
        <v>0</v>
      </c>
      <c r="O171" s="115">
        <f t="shared" si="2"/>
        <v>0</v>
      </c>
    </row>
    <row r="172" spans="2:15">
      <c r="B172" s="149" t="s">
        <v>297</v>
      </c>
      <c r="C172" s="149" t="s">
        <v>298</v>
      </c>
      <c r="D172" s="149" t="s">
        <v>36</v>
      </c>
      <c r="E172" s="149" t="s">
        <v>121</v>
      </c>
      <c r="F172" s="149" t="s">
        <v>299</v>
      </c>
      <c r="G172" s="149" t="s">
        <v>341</v>
      </c>
      <c r="H172" s="149" t="s">
        <v>101</v>
      </c>
      <c r="I172" s="149" t="s">
        <v>405</v>
      </c>
      <c r="J172" s="149" t="s">
        <v>406</v>
      </c>
      <c r="K172" s="149" t="s">
        <v>407</v>
      </c>
      <c r="L172" s="149" t="s">
        <v>21</v>
      </c>
      <c r="M172" s="149" t="s">
        <v>339</v>
      </c>
      <c r="N172" s="150">
        <v>0</v>
      </c>
      <c r="O172" s="115">
        <f t="shared" si="2"/>
        <v>0</v>
      </c>
    </row>
    <row r="173" spans="2:15">
      <c r="B173" s="149" t="s">
        <v>297</v>
      </c>
      <c r="C173" s="149" t="s">
        <v>298</v>
      </c>
      <c r="D173" s="149" t="s">
        <v>19</v>
      </c>
      <c r="E173" s="149" t="s">
        <v>69</v>
      </c>
      <c r="F173" s="149" t="s">
        <v>299</v>
      </c>
      <c r="G173" s="149" t="s">
        <v>341</v>
      </c>
      <c r="H173" s="149" t="s">
        <v>95</v>
      </c>
      <c r="I173" s="149" t="s">
        <v>405</v>
      </c>
      <c r="J173" s="149" t="s">
        <v>406</v>
      </c>
      <c r="K173" s="149" t="s">
        <v>407</v>
      </c>
      <c r="L173" s="149" t="s">
        <v>21</v>
      </c>
      <c r="M173" s="149" t="s">
        <v>339</v>
      </c>
      <c r="N173" s="150">
        <v>0</v>
      </c>
      <c r="O173" s="115">
        <f t="shared" si="2"/>
        <v>0</v>
      </c>
    </row>
    <row r="174" spans="2:15">
      <c r="B174" s="149" t="s">
        <v>297</v>
      </c>
      <c r="C174" s="149" t="s">
        <v>298</v>
      </c>
      <c r="D174" s="149" t="s">
        <v>19</v>
      </c>
      <c r="E174" s="149" t="s">
        <v>69</v>
      </c>
      <c r="F174" s="149" t="s">
        <v>299</v>
      </c>
      <c r="G174" s="149" t="s">
        <v>341</v>
      </c>
      <c r="H174" s="149" t="s">
        <v>101</v>
      </c>
      <c r="I174" s="149" t="s">
        <v>405</v>
      </c>
      <c r="J174" s="149" t="s">
        <v>406</v>
      </c>
      <c r="K174" s="149" t="s">
        <v>407</v>
      </c>
      <c r="L174" s="149" t="s">
        <v>21</v>
      </c>
      <c r="M174" s="149" t="s">
        <v>339</v>
      </c>
      <c r="N174" s="150">
        <v>0</v>
      </c>
      <c r="O174" s="115">
        <f t="shared" si="2"/>
        <v>0</v>
      </c>
    </row>
    <row r="175" spans="2:15">
      <c r="B175" s="149" t="s">
        <v>297</v>
      </c>
      <c r="C175" s="149" t="s">
        <v>298</v>
      </c>
      <c r="D175" s="149" t="s">
        <v>18</v>
      </c>
      <c r="E175" s="149" t="s">
        <v>70</v>
      </c>
      <c r="F175" s="149" t="s">
        <v>299</v>
      </c>
      <c r="G175" s="149" t="s">
        <v>341</v>
      </c>
      <c r="H175" s="149" t="s">
        <v>101</v>
      </c>
      <c r="I175" s="149" t="s">
        <v>405</v>
      </c>
      <c r="J175" s="149" t="s">
        <v>406</v>
      </c>
      <c r="K175" s="149" t="s">
        <v>407</v>
      </c>
      <c r="L175" s="149" t="s">
        <v>96</v>
      </c>
      <c r="M175" s="149" t="s">
        <v>339</v>
      </c>
      <c r="N175" s="150">
        <v>9.1321899999999996</v>
      </c>
      <c r="O175" s="115">
        <f t="shared" si="2"/>
        <v>9.1321900000000001E-3</v>
      </c>
    </row>
    <row r="176" spans="2:15">
      <c r="B176" s="149" t="s">
        <v>297</v>
      </c>
      <c r="C176" s="149" t="s">
        <v>298</v>
      </c>
      <c r="D176" s="149" t="s">
        <v>35</v>
      </c>
      <c r="E176" s="149" t="s">
        <v>114</v>
      </c>
      <c r="F176" s="149" t="s">
        <v>299</v>
      </c>
      <c r="G176" s="149" t="s">
        <v>341</v>
      </c>
      <c r="H176" s="149" t="s">
        <v>101</v>
      </c>
      <c r="I176" s="149" t="s">
        <v>405</v>
      </c>
      <c r="J176" s="149" t="s">
        <v>406</v>
      </c>
      <c r="K176" s="149" t="s">
        <v>407</v>
      </c>
      <c r="L176" s="149" t="s">
        <v>96</v>
      </c>
      <c r="M176" s="149" t="s">
        <v>339</v>
      </c>
      <c r="N176" s="150">
        <v>52.528210000000001</v>
      </c>
      <c r="O176" s="115">
        <f t="shared" si="2"/>
        <v>5.2528209999999999E-2</v>
      </c>
    </row>
    <row r="177" spans="2:15">
      <c r="B177" s="149" t="s">
        <v>297</v>
      </c>
      <c r="C177" s="149" t="s">
        <v>298</v>
      </c>
      <c r="D177" s="149" t="s">
        <v>15</v>
      </c>
      <c r="E177" s="149" t="s">
        <v>72</v>
      </c>
      <c r="F177" s="149" t="s">
        <v>299</v>
      </c>
      <c r="G177" s="149" t="s">
        <v>341</v>
      </c>
      <c r="H177" s="149" t="s">
        <v>106</v>
      </c>
      <c r="I177" s="149" t="s">
        <v>405</v>
      </c>
      <c r="J177" s="149" t="s">
        <v>406</v>
      </c>
      <c r="K177" s="149" t="s">
        <v>407</v>
      </c>
      <c r="L177" s="149" t="s">
        <v>96</v>
      </c>
      <c r="M177" s="149" t="s">
        <v>339</v>
      </c>
      <c r="N177" s="150">
        <v>15.7403</v>
      </c>
      <c r="O177" s="115">
        <f t="shared" si="2"/>
        <v>1.5740299999999999E-2</v>
      </c>
    </row>
    <row r="178" spans="2:15">
      <c r="B178" s="149" t="s">
        <v>297</v>
      </c>
      <c r="C178" s="149" t="s">
        <v>298</v>
      </c>
      <c r="D178" s="149" t="s">
        <v>33</v>
      </c>
      <c r="E178" s="149" t="s">
        <v>65</v>
      </c>
      <c r="F178" s="149" t="s">
        <v>299</v>
      </c>
      <c r="G178" s="149" t="s">
        <v>341</v>
      </c>
      <c r="H178" s="149" t="s">
        <v>95</v>
      </c>
      <c r="I178" s="149" t="s">
        <v>405</v>
      </c>
      <c r="J178" s="149" t="s">
        <v>406</v>
      </c>
      <c r="K178" s="149" t="s">
        <v>407</v>
      </c>
      <c r="L178" s="149" t="s">
        <v>96</v>
      </c>
      <c r="M178" s="149" t="s">
        <v>339</v>
      </c>
      <c r="N178" s="150">
        <v>277.47546</v>
      </c>
      <c r="O178" s="115">
        <f t="shared" si="2"/>
        <v>0.27747546000000001</v>
      </c>
    </row>
    <row r="179" spans="2:15">
      <c r="B179" s="149" t="s">
        <v>297</v>
      </c>
      <c r="C179" s="149" t="s">
        <v>298</v>
      </c>
      <c r="D179" s="149" t="s">
        <v>13</v>
      </c>
      <c r="E179" s="149" t="s">
        <v>315</v>
      </c>
      <c r="F179" s="149" t="s">
        <v>299</v>
      </c>
      <c r="G179" s="149" t="s">
        <v>341</v>
      </c>
      <c r="H179" s="149" t="s">
        <v>106</v>
      </c>
      <c r="I179" s="149" t="s">
        <v>405</v>
      </c>
      <c r="J179" s="149" t="s">
        <v>406</v>
      </c>
      <c r="K179" s="149" t="s">
        <v>407</v>
      </c>
      <c r="L179" s="149" t="s">
        <v>96</v>
      </c>
      <c r="M179" s="149" t="s">
        <v>339</v>
      </c>
      <c r="N179" s="150">
        <v>11.26849</v>
      </c>
      <c r="O179" s="115">
        <f t="shared" si="2"/>
        <v>1.1268489999999999E-2</v>
      </c>
    </row>
    <row r="180" spans="2:15">
      <c r="B180" s="149" t="s">
        <v>297</v>
      </c>
      <c r="C180" s="149" t="s">
        <v>298</v>
      </c>
      <c r="D180" s="149" t="s">
        <v>31</v>
      </c>
      <c r="E180" s="149" t="s">
        <v>124</v>
      </c>
      <c r="F180" s="149" t="s">
        <v>299</v>
      </c>
      <c r="G180" s="149" t="s">
        <v>341</v>
      </c>
      <c r="H180" s="149" t="s">
        <v>95</v>
      </c>
      <c r="I180" s="149" t="s">
        <v>405</v>
      </c>
      <c r="J180" s="149" t="s">
        <v>406</v>
      </c>
      <c r="K180" s="149" t="s">
        <v>407</v>
      </c>
      <c r="L180" s="149" t="s">
        <v>96</v>
      </c>
      <c r="M180" s="149" t="s">
        <v>339</v>
      </c>
      <c r="N180" s="150">
        <v>30.75827</v>
      </c>
      <c r="O180" s="115">
        <f t="shared" si="2"/>
        <v>3.0758270000000001E-2</v>
      </c>
    </row>
    <row r="181" spans="2:15">
      <c r="B181" s="149" t="s">
        <v>297</v>
      </c>
      <c r="C181" s="149" t="s">
        <v>298</v>
      </c>
      <c r="D181" s="149" t="s">
        <v>22</v>
      </c>
      <c r="E181" s="149" t="s">
        <v>119</v>
      </c>
      <c r="F181" s="149" t="s">
        <v>299</v>
      </c>
      <c r="G181" s="149" t="s">
        <v>341</v>
      </c>
      <c r="H181" s="149" t="s">
        <v>101</v>
      </c>
      <c r="I181" s="149" t="s">
        <v>405</v>
      </c>
      <c r="J181" s="149" t="s">
        <v>406</v>
      </c>
      <c r="K181" s="149" t="s">
        <v>407</v>
      </c>
      <c r="L181" s="149" t="s">
        <v>96</v>
      </c>
      <c r="M181" s="149" t="s">
        <v>339</v>
      </c>
      <c r="N181" s="150">
        <v>67.218119999999999</v>
      </c>
      <c r="O181" s="115">
        <f t="shared" si="2"/>
        <v>6.7218119999999992E-2</v>
      </c>
    </row>
    <row r="182" spans="2:15">
      <c r="B182" s="149" t="s">
        <v>297</v>
      </c>
      <c r="C182" s="149" t="s">
        <v>298</v>
      </c>
      <c r="D182" s="149" t="s">
        <v>21</v>
      </c>
      <c r="E182" s="149" t="s">
        <v>126</v>
      </c>
      <c r="F182" s="149" t="s">
        <v>299</v>
      </c>
      <c r="G182" s="149" t="s">
        <v>341</v>
      </c>
      <c r="H182" s="149" t="s">
        <v>101</v>
      </c>
      <c r="I182" s="149" t="s">
        <v>405</v>
      </c>
      <c r="J182" s="149" t="s">
        <v>406</v>
      </c>
      <c r="K182" s="149" t="s">
        <v>407</v>
      </c>
      <c r="L182" s="149" t="s">
        <v>96</v>
      </c>
      <c r="M182" s="149" t="s">
        <v>339</v>
      </c>
      <c r="N182" s="150">
        <v>238.32575</v>
      </c>
      <c r="O182" s="115">
        <f t="shared" si="2"/>
        <v>0.23832575</v>
      </c>
    </row>
    <row r="183" spans="2:15">
      <c r="B183" s="149" t="s">
        <v>297</v>
      </c>
      <c r="C183" s="149" t="s">
        <v>298</v>
      </c>
      <c r="D183" s="149" t="s">
        <v>18</v>
      </c>
      <c r="E183" s="149" t="s">
        <v>70</v>
      </c>
      <c r="F183" s="149" t="s">
        <v>299</v>
      </c>
      <c r="G183" s="149" t="s">
        <v>341</v>
      </c>
      <c r="H183" s="149" t="s">
        <v>106</v>
      </c>
      <c r="I183" s="149" t="s">
        <v>405</v>
      </c>
      <c r="J183" s="149" t="s">
        <v>406</v>
      </c>
      <c r="K183" s="149" t="s">
        <v>407</v>
      </c>
      <c r="L183" s="149" t="s">
        <v>96</v>
      </c>
      <c r="M183" s="149" t="s">
        <v>339</v>
      </c>
      <c r="N183" s="150">
        <v>6.5666000000000002</v>
      </c>
      <c r="O183" s="115">
        <f t="shared" si="2"/>
        <v>6.5666000000000006E-3</v>
      </c>
    </row>
    <row r="184" spans="2:15">
      <c r="B184" s="149" t="s">
        <v>297</v>
      </c>
      <c r="C184" s="149" t="s">
        <v>298</v>
      </c>
      <c r="D184" s="149" t="s">
        <v>314</v>
      </c>
      <c r="E184" s="149" t="s">
        <v>147</v>
      </c>
      <c r="F184" s="149" t="s">
        <v>299</v>
      </c>
      <c r="G184" s="149" t="s">
        <v>341</v>
      </c>
      <c r="H184" s="149" t="s">
        <v>106</v>
      </c>
      <c r="I184" s="149" t="s">
        <v>405</v>
      </c>
      <c r="J184" s="149" t="s">
        <v>406</v>
      </c>
      <c r="K184" s="149" t="s">
        <v>407</v>
      </c>
      <c r="L184" s="149" t="s">
        <v>96</v>
      </c>
      <c r="M184" s="149" t="s">
        <v>339</v>
      </c>
      <c r="N184" s="150">
        <v>120.07867</v>
      </c>
      <c r="O184" s="115">
        <f t="shared" si="2"/>
        <v>0.12007867</v>
      </c>
    </row>
    <row r="185" spans="2:15">
      <c r="B185" s="149" t="s">
        <v>297</v>
      </c>
      <c r="C185" s="149" t="s">
        <v>298</v>
      </c>
      <c r="D185" s="149" t="s">
        <v>13</v>
      </c>
      <c r="E185" s="149" t="s">
        <v>315</v>
      </c>
      <c r="F185" s="149" t="s">
        <v>299</v>
      </c>
      <c r="G185" s="149" t="s">
        <v>341</v>
      </c>
      <c r="H185" s="149" t="s">
        <v>95</v>
      </c>
      <c r="I185" s="149" t="s">
        <v>405</v>
      </c>
      <c r="J185" s="149" t="s">
        <v>406</v>
      </c>
      <c r="K185" s="149" t="s">
        <v>407</v>
      </c>
      <c r="L185" s="149" t="s">
        <v>96</v>
      </c>
      <c r="M185" s="149" t="s">
        <v>339</v>
      </c>
      <c r="N185" s="150">
        <v>115.47969000000001</v>
      </c>
      <c r="O185" s="115">
        <f t="shared" si="2"/>
        <v>0.11547969000000001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72"/>
  <sheetViews>
    <sheetView topLeftCell="A157" workbookViewId="0">
      <selection activeCell="P169" sqref="P169"/>
    </sheetView>
  </sheetViews>
  <sheetFormatPr defaultRowHeight="15"/>
  <cols>
    <col min="7" max="7" width="23.85546875" customWidth="1"/>
    <col min="9" max="9" width="61" customWidth="1"/>
    <col min="13" max="13" width="17.5703125" bestFit="1" customWidth="1"/>
    <col min="14" max="14" width="11.5703125" bestFit="1" customWidth="1"/>
  </cols>
  <sheetData>
    <row r="2" spans="2:16">
      <c r="B2" s="158" t="s">
        <v>286</v>
      </c>
      <c r="C2" s="158" t="s">
        <v>287</v>
      </c>
      <c r="D2" s="158" t="s">
        <v>288</v>
      </c>
      <c r="E2" s="158" t="s">
        <v>56</v>
      </c>
      <c r="F2" s="158" t="s">
        <v>289</v>
      </c>
      <c r="G2" s="158" t="s">
        <v>290</v>
      </c>
      <c r="H2" s="158" t="s">
        <v>3</v>
      </c>
      <c r="I2" s="158" t="s">
        <v>291</v>
      </c>
      <c r="J2" s="158" t="s">
        <v>292</v>
      </c>
      <c r="K2" s="158" t="s">
        <v>293</v>
      </c>
      <c r="L2" s="158" t="s">
        <v>294</v>
      </c>
      <c r="M2" s="158" t="s">
        <v>295</v>
      </c>
      <c r="N2" s="158" t="s">
        <v>296</v>
      </c>
    </row>
    <row r="3" spans="2:16">
      <c r="B3" s="159" t="s">
        <v>297</v>
      </c>
      <c r="C3" s="159" t="s">
        <v>298</v>
      </c>
      <c r="D3" s="159" t="s">
        <v>308</v>
      </c>
      <c r="E3" s="159" t="s">
        <v>309</v>
      </c>
      <c r="F3" s="159" t="s">
        <v>299</v>
      </c>
      <c r="G3" s="159" t="s">
        <v>338</v>
      </c>
      <c r="H3" s="159" t="s">
        <v>95</v>
      </c>
      <c r="I3" s="159" t="s">
        <v>410</v>
      </c>
      <c r="J3" s="159" t="s">
        <v>411</v>
      </c>
      <c r="K3" s="159" t="s">
        <v>412</v>
      </c>
      <c r="L3" s="159" t="s">
        <v>96</v>
      </c>
      <c r="M3" s="159" t="s">
        <v>339</v>
      </c>
      <c r="N3" s="160">
        <v>547.67971999999997</v>
      </c>
    </row>
    <row r="4" spans="2:16">
      <c r="B4" s="159" t="s">
        <v>297</v>
      </c>
      <c r="C4" s="159" t="s">
        <v>298</v>
      </c>
      <c r="D4" s="159" t="s">
        <v>308</v>
      </c>
      <c r="E4" s="159" t="s">
        <v>309</v>
      </c>
      <c r="F4" s="159" t="s">
        <v>299</v>
      </c>
      <c r="G4" s="159" t="s">
        <v>338</v>
      </c>
      <c r="H4" s="159" t="s">
        <v>95</v>
      </c>
      <c r="I4" s="159" t="s">
        <v>413</v>
      </c>
      <c r="J4" s="159" t="s">
        <v>302</v>
      </c>
      <c r="K4" s="159" t="s">
        <v>414</v>
      </c>
      <c r="L4" s="159" t="s">
        <v>96</v>
      </c>
      <c r="M4" s="159" t="s">
        <v>339</v>
      </c>
      <c r="N4" s="160">
        <v>4108410.8985899999</v>
      </c>
      <c r="O4" s="49">
        <f>SUM(N5,N9,N17,N28,N32)</f>
        <v>3995234.5612999997</v>
      </c>
      <c r="P4" s="49">
        <f>SUM(N36,N39,N40)</f>
        <v>405825.93261999998</v>
      </c>
    </row>
    <row r="5" spans="2:16">
      <c r="B5" s="159" t="s">
        <v>297</v>
      </c>
      <c r="C5" s="159" t="s">
        <v>298</v>
      </c>
      <c r="D5" s="159" t="s">
        <v>308</v>
      </c>
      <c r="E5" s="159" t="s">
        <v>309</v>
      </c>
      <c r="F5" s="159" t="s">
        <v>299</v>
      </c>
      <c r="G5" s="159" t="s">
        <v>338</v>
      </c>
      <c r="H5" s="159" t="s">
        <v>95</v>
      </c>
      <c r="I5" s="159" t="s">
        <v>415</v>
      </c>
      <c r="J5" s="159" t="s">
        <v>416</v>
      </c>
      <c r="K5" s="159" t="s">
        <v>417</v>
      </c>
      <c r="L5" s="159" t="s">
        <v>96</v>
      </c>
      <c r="M5" s="159" t="s">
        <v>339</v>
      </c>
      <c r="N5" s="160">
        <v>1597866.8821399999</v>
      </c>
      <c r="O5" s="49">
        <f>N35</f>
        <v>3995234.5613000002</v>
      </c>
      <c r="P5" s="49">
        <f>N4-O5</f>
        <v>113176.3372899997</v>
      </c>
    </row>
    <row r="6" spans="2:16">
      <c r="B6" s="159" t="s">
        <v>297</v>
      </c>
      <c r="C6" s="159" t="s">
        <v>298</v>
      </c>
      <c r="D6" s="159" t="s">
        <v>308</v>
      </c>
      <c r="E6" s="159" t="s">
        <v>309</v>
      </c>
      <c r="F6" s="159" t="s">
        <v>299</v>
      </c>
      <c r="G6" s="159" t="s">
        <v>338</v>
      </c>
      <c r="H6" s="159" t="s">
        <v>95</v>
      </c>
      <c r="I6" s="159" t="s">
        <v>418</v>
      </c>
      <c r="J6" s="159" t="s">
        <v>417</v>
      </c>
      <c r="K6" s="159" t="s">
        <v>419</v>
      </c>
      <c r="L6" s="159" t="s">
        <v>96</v>
      </c>
      <c r="M6" s="159" t="s">
        <v>339</v>
      </c>
      <c r="N6" s="160">
        <v>1375102.91756</v>
      </c>
    </row>
    <row r="7" spans="2:16">
      <c r="B7" s="159" t="s">
        <v>297</v>
      </c>
      <c r="C7" s="159" t="s">
        <v>298</v>
      </c>
      <c r="D7" s="159" t="s">
        <v>308</v>
      </c>
      <c r="E7" s="159" t="s">
        <v>309</v>
      </c>
      <c r="F7" s="159" t="s">
        <v>299</v>
      </c>
      <c r="G7" s="159" t="s">
        <v>338</v>
      </c>
      <c r="H7" s="159" t="s">
        <v>95</v>
      </c>
      <c r="I7" s="159" t="s">
        <v>420</v>
      </c>
      <c r="J7" s="159" t="s">
        <v>417</v>
      </c>
      <c r="K7" s="159" t="s">
        <v>421</v>
      </c>
      <c r="L7" s="159" t="s">
        <v>96</v>
      </c>
      <c r="M7" s="159" t="s">
        <v>339</v>
      </c>
      <c r="N7" s="160">
        <v>142195.36489999999</v>
      </c>
    </row>
    <row r="8" spans="2:16">
      <c r="B8" s="159" t="s">
        <v>297</v>
      </c>
      <c r="C8" s="159" t="s">
        <v>298</v>
      </c>
      <c r="D8" s="159" t="s">
        <v>308</v>
      </c>
      <c r="E8" s="159" t="s">
        <v>309</v>
      </c>
      <c r="F8" s="159" t="s">
        <v>299</v>
      </c>
      <c r="G8" s="159" t="s">
        <v>338</v>
      </c>
      <c r="H8" s="159" t="s">
        <v>95</v>
      </c>
      <c r="I8" s="159" t="s">
        <v>422</v>
      </c>
      <c r="J8" s="159" t="s">
        <v>417</v>
      </c>
      <c r="K8" s="159" t="s">
        <v>423</v>
      </c>
      <c r="L8" s="159" t="s">
        <v>96</v>
      </c>
      <c r="M8" s="159" t="s">
        <v>339</v>
      </c>
      <c r="N8" s="160">
        <v>80568.599690000003</v>
      </c>
    </row>
    <row r="9" spans="2:16">
      <c r="B9" s="159" t="s">
        <v>297</v>
      </c>
      <c r="C9" s="159" t="s">
        <v>298</v>
      </c>
      <c r="D9" s="159" t="s">
        <v>308</v>
      </c>
      <c r="E9" s="159" t="s">
        <v>309</v>
      </c>
      <c r="F9" s="159" t="s">
        <v>299</v>
      </c>
      <c r="G9" s="159" t="s">
        <v>338</v>
      </c>
      <c r="H9" s="159" t="s">
        <v>95</v>
      </c>
      <c r="I9" s="159" t="s">
        <v>424</v>
      </c>
      <c r="J9" s="159" t="s">
        <v>416</v>
      </c>
      <c r="K9" s="159" t="s">
        <v>425</v>
      </c>
      <c r="L9" s="159" t="s">
        <v>96</v>
      </c>
      <c r="M9" s="159" t="s">
        <v>339</v>
      </c>
      <c r="N9" s="160">
        <v>635077.99748000002</v>
      </c>
    </row>
    <row r="10" spans="2:16">
      <c r="B10" s="159" t="s">
        <v>297</v>
      </c>
      <c r="C10" s="159" t="s">
        <v>298</v>
      </c>
      <c r="D10" s="159" t="s">
        <v>308</v>
      </c>
      <c r="E10" s="159" t="s">
        <v>309</v>
      </c>
      <c r="F10" s="159" t="s">
        <v>299</v>
      </c>
      <c r="G10" s="159" t="s">
        <v>338</v>
      </c>
      <c r="H10" s="159" t="s">
        <v>95</v>
      </c>
      <c r="I10" s="159" t="s">
        <v>426</v>
      </c>
      <c r="J10" s="159" t="s">
        <v>425</v>
      </c>
      <c r="K10" s="159" t="s">
        <v>427</v>
      </c>
      <c r="L10" s="159" t="s">
        <v>96</v>
      </c>
      <c r="M10" s="159" t="s">
        <v>339</v>
      </c>
      <c r="N10" s="160">
        <v>123049.23315</v>
      </c>
    </row>
    <row r="11" spans="2:16">
      <c r="B11" s="159" t="s">
        <v>297</v>
      </c>
      <c r="C11" s="159" t="s">
        <v>298</v>
      </c>
      <c r="D11" s="159" t="s">
        <v>308</v>
      </c>
      <c r="E11" s="159" t="s">
        <v>309</v>
      </c>
      <c r="F11" s="159" t="s">
        <v>299</v>
      </c>
      <c r="G11" s="159" t="s">
        <v>338</v>
      </c>
      <c r="H11" s="159" t="s">
        <v>95</v>
      </c>
      <c r="I11" s="159" t="s">
        <v>428</v>
      </c>
      <c r="J11" s="159" t="s">
        <v>425</v>
      </c>
      <c r="K11" s="159" t="s">
        <v>429</v>
      </c>
      <c r="L11" s="159" t="s">
        <v>96</v>
      </c>
      <c r="M11" s="159" t="s">
        <v>339</v>
      </c>
      <c r="N11" s="160">
        <v>15802.734920000001</v>
      </c>
    </row>
    <row r="12" spans="2:16">
      <c r="B12" s="159" t="s">
        <v>297</v>
      </c>
      <c r="C12" s="159" t="s">
        <v>298</v>
      </c>
      <c r="D12" s="159" t="s">
        <v>308</v>
      </c>
      <c r="E12" s="159" t="s">
        <v>309</v>
      </c>
      <c r="F12" s="159" t="s">
        <v>299</v>
      </c>
      <c r="G12" s="159" t="s">
        <v>338</v>
      </c>
      <c r="H12" s="159" t="s">
        <v>95</v>
      </c>
      <c r="I12" s="159" t="s">
        <v>430</v>
      </c>
      <c r="J12" s="159" t="s">
        <v>425</v>
      </c>
      <c r="K12" s="159" t="s">
        <v>431</v>
      </c>
      <c r="L12" s="159" t="s">
        <v>96</v>
      </c>
      <c r="M12" s="159" t="s">
        <v>339</v>
      </c>
      <c r="N12" s="160">
        <v>87369.611860000005</v>
      </c>
    </row>
    <row r="13" spans="2:16">
      <c r="B13" s="159" t="s">
        <v>297</v>
      </c>
      <c r="C13" s="159" t="s">
        <v>298</v>
      </c>
      <c r="D13" s="159" t="s">
        <v>308</v>
      </c>
      <c r="E13" s="159" t="s">
        <v>309</v>
      </c>
      <c r="F13" s="159" t="s">
        <v>299</v>
      </c>
      <c r="G13" s="159" t="s">
        <v>338</v>
      </c>
      <c r="H13" s="159" t="s">
        <v>95</v>
      </c>
      <c r="I13" s="159" t="s">
        <v>432</v>
      </c>
      <c r="J13" s="159" t="s">
        <v>425</v>
      </c>
      <c r="K13" s="159" t="s">
        <v>433</v>
      </c>
      <c r="L13" s="159" t="s">
        <v>96</v>
      </c>
      <c r="M13" s="159" t="s">
        <v>339</v>
      </c>
      <c r="N13" s="160">
        <v>34294.938450000001</v>
      </c>
    </row>
    <row r="14" spans="2:16">
      <c r="B14" s="159" t="s">
        <v>297</v>
      </c>
      <c r="C14" s="159" t="s">
        <v>298</v>
      </c>
      <c r="D14" s="159" t="s">
        <v>308</v>
      </c>
      <c r="E14" s="159" t="s">
        <v>309</v>
      </c>
      <c r="F14" s="159" t="s">
        <v>299</v>
      </c>
      <c r="G14" s="159" t="s">
        <v>338</v>
      </c>
      <c r="H14" s="159" t="s">
        <v>95</v>
      </c>
      <c r="I14" s="159" t="s">
        <v>434</v>
      </c>
      <c r="J14" s="159" t="s">
        <v>425</v>
      </c>
      <c r="K14" s="159" t="s">
        <v>435</v>
      </c>
      <c r="L14" s="159" t="s">
        <v>96</v>
      </c>
      <c r="M14" s="159" t="s">
        <v>339</v>
      </c>
      <c r="N14" s="160">
        <v>50851.422200000001</v>
      </c>
    </row>
    <row r="15" spans="2:16">
      <c r="B15" s="159" t="s">
        <v>297</v>
      </c>
      <c r="C15" s="159" t="s">
        <v>298</v>
      </c>
      <c r="D15" s="159" t="s">
        <v>308</v>
      </c>
      <c r="E15" s="159" t="s">
        <v>309</v>
      </c>
      <c r="F15" s="159" t="s">
        <v>299</v>
      </c>
      <c r="G15" s="159" t="s">
        <v>338</v>
      </c>
      <c r="H15" s="159" t="s">
        <v>95</v>
      </c>
      <c r="I15" s="159" t="s">
        <v>436</v>
      </c>
      <c r="J15" s="159" t="s">
        <v>425</v>
      </c>
      <c r="K15" s="159" t="s">
        <v>437</v>
      </c>
      <c r="L15" s="159" t="s">
        <v>96</v>
      </c>
      <c r="M15" s="159" t="s">
        <v>339</v>
      </c>
      <c r="N15" s="160">
        <v>123916.64425</v>
      </c>
    </row>
    <row r="16" spans="2:16">
      <c r="B16" s="159" t="s">
        <v>297</v>
      </c>
      <c r="C16" s="159" t="s">
        <v>298</v>
      </c>
      <c r="D16" s="159" t="s">
        <v>308</v>
      </c>
      <c r="E16" s="159" t="s">
        <v>309</v>
      </c>
      <c r="F16" s="159" t="s">
        <v>299</v>
      </c>
      <c r="G16" s="159" t="s">
        <v>338</v>
      </c>
      <c r="H16" s="159" t="s">
        <v>95</v>
      </c>
      <c r="I16" s="159" t="s">
        <v>438</v>
      </c>
      <c r="J16" s="159" t="s">
        <v>425</v>
      </c>
      <c r="K16" s="159" t="s">
        <v>439</v>
      </c>
      <c r="L16" s="159" t="s">
        <v>96</v>
      </c>
      <c r="M16" s="159" t="s">
        <v>339</v>
      </c>
      <c r="N16" s="160">
        <v>199793.41264</v>
      </c>
    </row>
    <row r="17" spans="2:16">
      <c r="B17" s="159" t="s">
        <v>297</v>
      </c>
      <c r="C17" s="159" t="s">
        <v>298</v>
      </c>
      <c r="D17" s="159" t="s">
        <v>308</v>
      </c>
      <c r="E17" s="159" t="s">
        <v>309</v>
      </c>
      <c r="F17" s="159" t="s">
        <v>299</v>
      </c>
      <c r="G17" s="159" t="s">
        <v>338</v>
      </c>
      <c r="H17" s="159" t="s">
        <v>95</v>
      </c>
      <c r="I17" s="159" t="s">
        <v>440</v>
      </c>
      <c r="J17" s="159" t="s">
        <v>416</v>
      </c>
      <c r="K17" s="159" t="s">
        <v>398</v>
      </c>
      <c r="L17" s="159" t="s">
        <v>96</v>
      </c>
      <c r="M17" s="159" t="s">
        <v>339</v>
      </c>
      <c r="N17" s="161">
        <v>970697.09935000003</v>
      </c>
      <c r="O17" s="49">
        <f>N17+N41</f>
        <v>1102379.4737800001</v>
      </c>
      <c r="P17" s="49">
        <f>N17+N40</f>
        <v>1263346.69468</v>
      </c>
    </row>
    <row r="18" spans="2:16">
      <c r="B18" s="159" t="s">
        <v>297</v>
      </c>
      <c r="C18" s="159" t="s">
        <v>298</v>
      </c>
      <c r="D18" s="159" t="s">
        <v>308</v>
      </c>
      <c r="E18" s="159" t="s">
        <v>309</v>
      </c>
      <c r="F18" s="159" t="s">
        <v>299</v>
      </c>
      <c r="G18" s="159" t="s">
        <v>338</v>
      </c>
      <c r="H18" s="159" t="s">
        <v>95</v>
      </c>
      <c r="I18" s="159" t="s">
        <v>441</v>
      </c>
      <c r="J18" s="159" t="s">
        <v>398</v>
      </c>
      <c r="K18" s="159" t="s">
        <v>442</v>
      </c>
      <c r="L18" s="159" t="s">
        <v>96</v>
      </c>
      <c r="M18" s="159" t="s">
        <v>339</v>
      </c>
      <c r="N18" s="162">
        <v>19630.686969999999</v>
      </c>
    </row>
    <row r="19" spans="2:16">
      <c r="B19" s="159" t="s">
        <v>297</v>
      </c>
      <c r="C19" s="159" t="s">
        <v>298</v>
      </c>
      <c r="D19" s="159" t="s">
        <v>308</v>
      </c>
      <c r="E19" s="159" t="s">
        <v>309</v>
      </c>
      <c r="F19" s="159" t="s">
        <v>299</v>
      </c>
      <c r="G19" s="159" t="s">
        <v>338</v>
      </c>
      <c r="H19" s="159" t="s">
        <v>95</v>
      </c>
      <c r="I19" s="159" t="s">
        <v>443</v>
      </c>
      <c r="J19" s="159" t="s">
        <v>398</v>
      </c>
      <c r="K19" s="159" t="s">
        <v>444</v>
      </c>
      <c r="L19" s="159" t="s">
        <v>96</v>
      </c>
      <c r="M19" s="159" t="s">
        <v>339</v>
      </c>
      <c r="N19" s="162">
        <v>911910.56646999996</v>
      </c>
    </row>
    <row r="20" spans="2:16">
      <c r="B20" s="159" t="s">
        <v>297</v>
      </c>
      <c r="C20" s="159" t="s">
        <v>298</v>
      </c>
      <c r="D20" s="159" t="s">
        <v>308</v>
      </c>
      <c r="E20" s="159" t="s">
        <v>309</v>
      </c>
      <c r="F20" s="159" t="s">
        <v>299</v>
      </c>
      <c r="G20" s="159" t="s">
        <v>338</v>
      </c>
      <c r="H20" s="159" t="s">
        <v>95</v>
      </c>
      <c r="I20" s="159" t="s">
        <v>445</v>
      </c>
      <c r="J20" s="159" t="s">
        <v>444</v>
      </c>
      <c r="K20" s="159" t="s">
        <v>446</v>
      </c>
      <c r="L20" s="159" t="s">
        <v>96</v>
      </c>
      <c r="M20" s="159" t="s">
        <v>339</v>
      </c>
      <c r="N20" s="160">
        <v>553335.10542000004</v>
      </c>
    </row>
    <row r="21" spans="2:16">
      <c r="B21" s="159" t="s">
        <v>297</v>
      </c>
      <c r="C21" s="159" t="s">
        <v>298</v>
      </c>
      <c r="D21" s="159" t="s">
        <v>308</v>
      </c>
      <c r="E21" s="159" t="s">
        <v>309</v>
      </c>
      <c r="F21" s="159" t="s">
        <v>299</v>
      </c>
      <c r="G21" s="159" t="s">
        <v>338</v>
      </c>
      <c r="H21" s="159" t="s">
        <v>95</v>
      </c>
      <c r="I21" s="159" t="s">
        <v>447</v>
      </c>
      <c r="J21" s="159" t="s">
        <v>444</v>
      </c>
      <c r="K21" s="159" t="s">
        <v>448</v>
      </c>
      <c r="L21" s="159" t="s">
        <v>96</v>
      </c>
      <c r="M21" s="159" t="s">
        <v>339</v>
      </c>
      <c r="N21" s="160">
        <v>106427.4926</v>
      </c>
    </row>
    <row r="22" spans="2:16">
      <c r="B22" s="159" t="s">
        <v>297</v>
      </c>
      <c r="C22" s="159" t="s">
        <v>298</v>
      </c>
      <c r="D22" s="159" t="s">
        <v>308</v>
      </c>
      <c r="E22" s="159" t="s">
        <v>309</v>
      </c>
      <c r="F22" s="159" t="s">
        <v>299</v>
      </c>
      <c r="G22" s="159" t="s">
        <v>338</v>
      </c>
      <c r="H22" s="159" t="s">
        <v>95</v>
      </c>
      <c r="I22" s="159" t="s">
        <v>449</v>
      </c>
      <c r="J22" s="159" t="s">
        <v>444</v>
      </c>
      <c r="K22" s="159" t="s">
        <v>450</v>
      </c>
      <c r="L22" s="159" t="s">
        <v>96</v>
      </c>
      <c r="M22" s="159" t="s">
        <v>339</v>
      </c>
      <c r="N22" s="160">
        <v>240348.41740999999</v>
      </c>
    </row>
    <row r="23" spans="2:16">
      <c r="B23" s="159" t="s">
        <v>297</v>
      </c>
      <c r="C23" s="159" t="s">
        <v>298</v>
      </c>
      <c r="D23" s="159" t="s">
        <v>308</v>
      </c>
      <c r="E23" s="159" t="s">
        <v>309</v>
      </c>
      <c r="F23" s="159" t="s">
        <v>299</v>
      </c>
      <c r="G23" s="159" t="s">
        <v>338</v>
      </c>
      <c r="H23" s="159" t="s">
        <v>95</v>
      </c>
      <c r="I23" s="159" t="s">
        <v>451</v>
      </c>
      <c r="J23" s="159" t="s">
        <v>444</v>
      </c>
      <c r="K23" s="159" t="s">
        <v>452</v>
      </c>
      <c r="L23" s="159" t="s">
        <v>96</v>
      </c>
      <c r="M23" s="159" t="s">
        <v>339</v>
      </c>
      <c r="N23" s="160">
        <v>11402.466570000001</v>
      </c>
    </row>
    <row r="24" spans="2:16">
      <c r="B24" s="159" t="s">
        <v>297</v>
      </c>
      <c r="C24" s="159" t="s">
        <v>298</v>
      </c>
      <c r="D24" s="159" t="s">
        <v>308</v>
      </c>
      <c r="E24" s="159" t="s">
        <v>309</v>
      </c>
      <c r="F24" s="159" t="s">
        <v>299</v>
      </c>
      <c r="G24" s="159" t="s">
        <v>338</v>
      </c>
      <c r="H24" s="159" t="s">
        <v>95</v>
      </c>
      <c r="I24" s="159" t="s">
        <v>453</v>
      </c>
      <c r="J24" s="159" t="s">
        <v>444</v>
      </c>
      <c r="K24" s="159" t="s">
        <v>454</v>
      </c>
      <c r="L24" s="159" t="s">
        <v>96</v>
      </c>
      <c r="M24" s="159" t="s">
        <v>339</v>
      </c>
      <c r="N24" s="160">
        <v>397.08447000000001</v>
      </c>
    </row>
    <row r="25" spans="2:16">
      <c r="B25" s="159" t="s">
        <v>297</v>
      </c>
      <c r="C25" s="159" t="s">
        <v>298</v>
      </c>
      <c r="D25" s="159" t="s">
        <v>308</v>
      </c>
      <c r="E25" s="159" t="s">
        <v>309</v>
      </c>
      <c r="F25" s="159" t="s">
        <v>299</v>
      </c>
      <c r="G25" s="159" t="s">
        <v>338</v>
      </c>
      <c r="H25" s="159" t="s">
        <v>95</v>
      </c>
      <c r="I25" s="159" t="s">
        <v>455</v>
      </c>
      <c r="J25" s="159" t="s">
        <v>398</v>
      </c>
      <c r="K25" s="159" t="s">
        <v>456</v>
      </c>
      <c r="L25" s="159" t="s">
        <v>96</v>
      </c>
      <c r="M25" s="159" t="s">
        <v>339</v>
      </c>
      <c r="N25" s="162">
        <v>8204.5261900000005</v>
      </c>
    </row>
    <row r="26" spans="2:16">
      <c r="B26" s="159" t="s">
        <v>297</v>
      </c>
      <c r="C26" s="159" t="s">
        <v>298</v>
      </c>
      <c r="D26" s="159" t="s">
        <v>308</v>
      </c>
      <c r="E26" s="159" t="s">
        <v>309</v>
      </c>
      <c r="F26" s="159" t="s">
        <v>299</v>
      </c>
      <c r="G26" s="159" t="s">
        <v>338</v>
      </c>
      <c r="H26" s="159" t="s">
        <v>95</v>
      </c>
      <c r="I26" s="159" t="s">
        <v>397</v>
      </c>
      <c r="J26" s="159" t="s">
        <v>398</v>
      </c>
      <c r="K26" s="159" t="s">
        <v>399</v>
      </c>
      <c r="L26" s="159" t="s">
        <v>96</v>
      </c>
      <c r="M26" s="159" t="s">
        <v>339</v>
      </c>
      <c r="N26" s="162">
        <v>22314.124680000001</v>
      </c>
    </row>
    <row r="27" spans="2:16">
      <c r="B27" s="159" t="s">
        <v>297</v>
      </c>
      <c r="C27" s="159" t="s">
        <v>298</v>
      </c>
      <c r="D27" s="159" t="s">
        <v>308</v>
      </c>
      <c r="E27" s="159" t="s">
        <v>309</v>
      </c>
      <c r="F27" s="159" t="s">
        <v>299</v>
      </c>
      <c r="G27" s="159" t="s">
        <v>338</v>
      </c>
      <c r="H27" s="159" t="s">
        <v>95</v>
      </c>
      <c r="I27" s="159" t="s">
        <v>457</v>
      </c>
      <c r="J27" s="159" t="s">
        <v>398</v>
      </c>
      <c r="K27" s="159" t="s">
        <v>458</v>
      </c>
      <c r="L27" s="159" t="s">
        <v>96</v>
      </c>
      <c r="M27" s="159" t="s">
        <v>339</v>
      </c>
      <c r="N27" s="162">
        <v>8637.1950500000003</v>
      </c>
    </row>
    <row r="28" spans="2:16">
      <c r="B28" s="159" t="s">
        <v>297</v>
      </c>
      <c r="C28" s="159" t="s">
        <v>298</v>
      </c>
      <c r="D28" s="159" t="s">
        <v>308</v>
      </c>
      <c r="E28" s="159" t="s">
        <v>309</v>
      </c>
      <c r="F28" s="159" t="s">
        <v>299</v>
      </c>
      <c r="G28" s="159" t="s">
        <v>338</v>
      </c>
      <c r="H28" s="159" t="s">
        <v>95</v>
      </c>
      <c r="I28" s="159" t="s">
        <v>459</v>
      </c>
      <c r="J28" s="159" t="s">
        <v>416</v>
      </c>
      <c r="K28" s="159" t="s">
        <v>460</v>
      </c>
      <c r="L28" s="159" t="s">
        <v>96</v>
      </c>
      <c r="M28" s="159" t="s">
        <v>339</v>
      </c>
      <c r="N28" s="160">
        <v>780871.86705999996</v>
      </c>
    </row>
    <row r="29" spans="2:16">
      <c r="B29" s="159" t="s">
        <v>297</v>
      </c>
      <c r="C29" s="159" t="s">
        <v>298</v>
      </c>
      <c r="D29" s="159" t="s">
        <v>308</v>
      </c>
      <c r="E29" s="159" t="s">
        <v>309</v>
      </c>
      <c r="F29" s="159" t="s">
        <v>299</v>
      </c>
      <c r="G29" s="159" t="s">
        <v>338</v>
      </c>
      <c r="H29" s="159" t="s">
        <v>95</v>
      </c>
      <c r="I29" s="159" t="s">
        <v>461</v>
      </c>
      <c r="J29" s="159" t="s">
        <v>460</v>
      </c>
      <c r="K29" s="159" t="s">
        <v>462</v>
      </c>
      <c r="L29" s="159" t="s">
        <v>96</v>
      </c>
      <c r="M29" s="159" t="s">
        <v>339</v>
      </c>
      <c r="N29" s="160">
        <v>185095.70198000001</v>
      </c>
    </row>
    <row r="30" spans="2:16">
      <c r="B30" s="159" t="s">
        <v>297</v>
      </c>
      <c r="C30" s="159" t="s">
        <v>298</v>
      </c>
      <c r="D30" s="159" t="s">
        <v>308</v>
      </c>
      <c r="E30" s="159" t="s">
        <v>309</v>
      </c>
      <c r="F30" s="159" t="s">
        <v>299</v>
      </c>
      <c r="G30" s="159" t="s">
        <v>338</v>
      </c>
      <c r="H30" s="159" t="s">
        <v>95</v>
      </c>
      <c r="I30" s="159" t="s">
        <v>463</v>
      </c>
      <c r="J30" s="159" t="s">
        <v>460</v>
      </c>
      <c r="K30" s="159" t="s">
        <v>464</v>
      </c>
      <c r="L30" s="159" t="s">
        <v>96</v>
      </c>
      <c r="M30" s="159" t="s">
        <v>339</v>
      </c>
      <c r="N30" s="160">
        <v>506121.62799000001</v>
      </c>
    </row>
    <row r="31" spans="2:16">
      <c r="B31" s="159" t="s">
        <v>297</v>
      </c>
      <c r="C31" s="159" t="s">
        <v>298</v>
      </c>
      <c r="D31" s="159" t="s">
        <v>308</v>
      </c>
      <c r="E31" s="159" t="s">
        <v>309</v>
      </c>
      <c r="F31" s="159" t="s">
        <v>299</v>
      </c>
      <c r="G31" s="159" t="s">
        <v>338</v>
      </c>
      <c r="H31" s="159" t="s">
        <v>95</v>
      </c>
      <c r="I31" s="159" t="s">
        <v>465</v>
      </c>
      <c r="J31" s="159" t="s">
        <v>460</v>
      </c>
      <c r="K31" s="159" t="s">
        <v>466</v>
      </c>
      <c r="L31" s="159" t="s">
        <v>96</v>
      </c>
      <c r="M31" s="159" t="s">
        <v>339</v>
      </c>
      <c r="N31" s="160">
        <v>89654.537089999998</v>
      </c>
    </row>
    <row r="32" spans="2:16">
      <c r="B32" s="159" t="s">
        <v>297</v>
      </c>
      <c r="C32" s="159" t="s">
        <v>298</v>
      </c>
      <c r="D32" s="159" t="s">
        <v>308</v>
      </c>
      <c r="E32" s="159" t="s">
        <v>309</v>
      </c>
      <c r="F32" s="159" t="s">
        <v>299</v>
      </c>
      <c r="G32" s="159" t="s">
        <v>338</v>
      </c>
      <c r="H32" s="159" t="s">
        <v>95</v>
      </c>
      <c r="I32" s="159" t="s">
        <v>467</v>
      </c>
      <c r="J32" s="159" t="s">
        <v>416</v>
      </c>
      <c r="K32" s="159" t="s">
        <v>468</v>
      </c>
      <c r="L32" s="159" t="s">
        <v>96</v>
      </c>
      <c r="M32" s="159" t="s">
        <v>339</v>
      </c>
      <c r="N32" s="160">
        <v>10720.715270000001</v>
      </c>
    </row>
    <row r="33" spans="2:14">
      <c r="B33" s="159" t="s">
        <v>297</v>
      </c>
      <c r="C33" s="159" t="s">
        <v>298</v>
      </c>
      <c r="D33" s="159" t="s">
        <v>308</v>
      </c>
      <c r="E33" s="159" t="s">
        <v>309</v>
      </c>
      <c r="F33" s="159" t="s">
        <v>299</v>
      </c>
      <c r="G33" s="159" t="s">
        <v>338</v>
      </c>
      <c r="H33" s="159" t="s">
        <v>95</v>
      </c>
      <c r="I33" s="159" t="s">
        <v>469</v>
      </c>
      <c r="J33" s="159" t="s">
        <v>468</v>
      </c>
      <c r="K33" s="159" t="s">
        <v>470</v>
      </c>
      <c r="L33" s="159" t="s">
        <v>96</v>
      </c>
      <c r="M33" s="159" t="s">
        <v>339</v>
      </c>
      <c r="N33" s="160">
        <v>3235.77936</v>
      </c>
    </row>
    <row r="34" spans="2:14">
      <c r="B34" s="159" t="s">
        <v>297</v>
      </c>
      <c r="C34" s="159" t="s">
        <v>298</v>
      </c>
      <c r="D34" s="159" t="s">
        <v>308</v>
      </c>
      <c r="E34" s="159" t="s">
        <v>309</v>
      </c>
      <c r="F34" s="159" t="s">
        <v>299</v>
      </c>
      <c r="G34" s="159" t="s">
        <v>338</v>
      </c>
      <c r="H34" s="159" t="s">
        <v>95</v>
      </c>
      <c r="I34" s="159" t="s">
        <v>471</v>
      </c>
      <c r="J34" s="159" t="s">
        <v>468</v>
      </c>
      <c r="K34" s="159" t="s">
        <v>472</v>
      </c>
      <c r="L34" s="159" t="s">
        <v>96</v>
      </c>
      <c r="M34" s="159" t="s">
        <v>339</v>
      </c>
      <c r="N34" s="160">
        <v>7484.9359199999999</v>
      </c>
    </row>
    <row r="35" spans="2:14">
      <c r="B35" s="159" t="s">
        <v>297</v>
      </c>
      <c r="C35" s="159" t="s">
        <v>298</v>
      </c>
      <c r="D35" s="159" t="s">
        <v>308</v>
      </c>
      <c r="E35" s="159" t="s">
        <v>309</v>
      </c>
      <c r="F35" s="159" t="s">
        <v>299</v>
      </c>
      <c r="G35" s="159" t="s">
        <v>338</v>
      </c>
      <c r="H35" s="159" t="s">
        <v>95</v>
      </c>
      <c r="I35" s="159" t="s">
        <v>473</v>
      </c>
      <c r="J35" s="159" t="s">
        <v>414</v>
      </c>
      <c r="K35" s="159" t="s">
        <v>416</v>
      </c>
      <c r="L35" s="159" t="s">
        <v>96</v>
      </c>
      <c r="M35" s="159" t="s">
        <v>339</v>
      </c>
      <c r="N35" s="163">
        <v>3995234.5613000002</v>
      </c>
    </row>
    <row r="36" spans="2:14">
      <c r="B36" s="159" t="s">
        <v>297</v>
      </c>
      <c r="C36" s="159" t="s">
        <v>298</v>
      </c>
      <c r="D36" s="159" t="s">
        <v>308</v>
      </c>
      <c r="E36" s="159" t="s">
        <v>309</v>
      </c>
      <c r="F36" s="159" t="s">
        <v>299</v>
      </c>
      <c r="G36" s="159" t="s">
        <v>338</v>
      </c>
      <c r="H36" s="159" t="s">
        <v>95</v>
      </c>
      <c r="I36" s="159" t="s">
        <v>474</v>
      </c>
      <c r="J36" s="159" t="s">
        <v>414</v>
      </c>
      <c r="K36" s="159" t="s">
        <v>475</v>
      </c>
      <c r="L36" s="159" t="s">
        <v>96</v>
      </c>
      <c r="M36" s="159" t="s">
        <v>339</v>
      </c>
      <c r="N36" s="163">
        <v>113176.33729</v>
      </c>
    </row>
    <row r="37" spans="2:14">
      <c r="B37" s="159" t="s">
        <v>297</v>
      </c>
      <c r="C37" s="159" t="s">
        <v>298</v>
      </c>
      <c r="D37" s="159" t="s">
        <v>308</v>
      </c>
      <c r="E37" s="159" t="s">
        <v>309</v>
      </c>
      <c r="F37" s="159" t="s">
        <v>299</v>
      </c>
      <c r="G37" s="159" t="s">
        <v>338</v>
      </c>
      <c r="H37" s="159" t="s">
        <v>95</v>
      </c>
      <c r="I37" s="159" t="s">
        <v>476</v>
      </c>
      <c r="J37" s="159" t="s">
        <v>475</v>
      </c>
      <c r="K37" s="159" t="s">
        <v>477</v>
      </c>
      <c r="L37" s="159" t="s">
        <v>96</v>
      </c>
      <c r="M37" s="159" t="s">
        <v>339</v>
      </c>
      <c r="N37" s="160">
        <v>45528.42166</v>
      </c>
    </row>
    <row r="38" spans="2:14">
      <c r="B38" s="159" t="s">
        <v>297</v>
      </c>
      <c r="C38" s="159" t="s">
        <v>298</v>
      </c>
      <c r="D38" s="159" t="s">
        <v>308</v>
      </c>
      <c r="E38" s="159" t="s">
        <v>309</v>
      </c>
      <c r="F38" s="159" t="s">
        <v>299</v>
      </c>
      <c r="G38" s="159" t="s">
        <v>338</v>
      </c>
      <c r="H38" s="159" t="s">
        <v>95</v>
      </c>
      <c r="I38" s="159" t="s">
        <v>478</v>
      </c>
      <c r="J38" s="159" t="s">
        <v>475</v>
      </c>
      <c r="K38" s="159" t="s">
        <v>479</v>
      </c>
      <c r="L38" s="159" t="s">
        <v>96</v>
      </c>
      <c r="M38" s="159" t="s">
        <v>339</v>
      </c>
      <c r="N38" s="160">
        <v>67647.915630000003</v>
      </c>
    </row>
    <row r="39" spans="2:14">
      <c r="B39" s="159" t="s">
        <v>297</v>
      </c>
      <c r="C39" s="159" t="s">
        <v>298</v>
      </c>
      <c r="D39" s="159" t="s">
        <v>308</v>
      </c>
      <c r="E39" s="159" t="s">
        <v>309</v>
      </c>
      <c r="F39" s="159" t="s">
        <v>299</v>
      </c>
      <c r="G39" s="159" t="s">
        <v>338</v>
      </c>
      <c r="H39" s="159" t="s">
        <v>95</v>
      </c>
      <c r="I39" s="159" t="s">
        <v>480</v>
      </c>
      <c r="J39" s="159" t="s">
        <v>414</v>
      </c>
      <c r="K39" s="159" t="s">
        <v>481</v>
      </c>
      <c r="L39" s="159" t="s">
        <v>482</v>
      </c>
      <c r="M39" s="159" t="s">
        <v>339</v>
      </c>
      <c r="N39" s="163">
        <v>0</v>
      </c>
    </row>
    <row r="40" spans="2:14">
      <c r="B40" s="159" t="s">
        <v>297</v>
      </c>
      <c r="C40" s="159" t="s">
        <v>298</v>
      </c>
      <c r="D40" s="159" t="s">
        <v>308</v>
      </c>
      <c r="E40" s="159" t="s">
        <v>309</v>
      </c>
      <c r="F40" s="159" t="s">
        <v>299</v>
      </c>
      <c r="G40" s="159" t="s">
        <v>338</v>
      </c>
      <c r="H40" s="159" t="s">
        <v>95</v>
      </c>
      <c r="I40" s="159" t="s">
        <v>483</v>
      </c>
      <c r="J40" s="159" t="s">
        <v>484</v>
      </c>
      <c r="K40" s="159" t="s">
        <v>395</v>
      </c>
      <c r="L40" s="159" t="s">
        <v>96</v>
      </c>
      <c r="M40" s="159" t="s">
        <v>339</v>
      </c>
      <c r="N40" s="160">
        <v>292649.59532999998</v>
      </c>
    </row>
    <row r="41" spans="2:14">
      <c r="B41" s="159" t="s">
        <v>297</v>
      </c>
      <c r="C41" s="159" t="s">
        <v>298</v>
      </c>
      <c r="D41" s="159" t="s">
        <v>308</v>
      </c>
      <c r="E41" s="159" t="s">
        <v>309</v>
      </c>
      <c r="F41" s="159" t="s">
        <v>299</v>
      </c>
      <c r="G41" s="159" t="s">
        <v>338</v>
      </c>
      <c r="H41" s="159" t="s">
        <v>95</v>
      </c>
      <c r="I41" s="159" t="s">
        <v>485</v>
      </c>
      <c r="J41" s="159" t="s">
        <v>395</v>
      </c>
      <c r="K41" s="159" t="s">
        <v>486</v>
      </c>
      <c r="L41" s="159" t="s">
        <v>96</v>
      </c>
      <c r="M41" s="159" t="s">
        <v>339</v>
      </c>
      <c r="N41" s="160">
        <v>131682.37443</v>
      </c>
    </row>
    <row r="42" spans="2:14">
      <c r="B42" s="159" t="s">
        <v>297</v>
      </c>
      <c r="C42" s="159" t="s">
        <v>298</v>
      </c>
      <c r="D42" s="159" t="s">
        <v>308</v>
      </c>
      <c r="E42" s="159" t="s">
        <v>309</v>
      </c>
      <c r="F42" s="159" t="s">
        <v>299</v>
      </c>
      <c r="G42" s="159" t="s">
        <v>338</v>
      </c>
      <c r="H42" s="159" t="s">
        <v>95</v>
      </c>
      <c r="I42" s="159" t="s">
        <v>394</v>
      </c>
      <c r="J42" s="159" t="s">
        <v>395</v>
      </c>
      <c r="K42" s="159" t="s">
        <v>396</v>
      </c>
      <c r="L42" s="159" t="s">
        <v>96</v>
      </c>
      <c r="M42" s="159" t="s">
        <v>339</v>
      </c>
      <c r="N42" s="160">
        <v>160967.22089999999</v>
      </c>
    </row>
    <row r="43" spans="2:14">
      <c r="B43" s="159" t="s">
        <v>297</v>
      </c>
      <c r="C43" s="159" t="s">
        <v>298</v>
      </c>
      <c r="D43" s="159" t="s">
        <v>308</v>
      </c>
      <c r="E43" s="159" t="s">
        <v>309</v>
      </c>
      <c r="F43" s="159" t="s">
        <v>299</v>
      </c>
      <c r="G43" s="159" t="s">
        <v>338</v>
      </c>
      <c r="H43" s="159" t="s">
        <v>95</v>
      </c>
      <c r="I43" s="159" t="s">
        <v>487</v>
      </c>
      <c r="J43" s="159" t="s">
        <v>484</v>
      </c>
      <c r="K43" s="159" t="s">
        <v>488</v>
      </c>
      <c r="L43" s="159" t="s">
        <v>96</v>
      </c>
      <c r="M43" s="159" t="s">
        <v>339</v>
      </c>
      <c r="N43" s="160">
        <v>15.878500000000001</v>
      </c>
    </row>
    <row r="44" spans="2:14">
      <c r="B44" s="159" t="s">
        <v>297</v>
      </c>
      <c r="C44" s="159" t="s">
        <v>298</v>
      </c>
      <c r="D44" s="159" t="s">
        <v>308</v>
      </c>
      <c r="E44" s="159" t="s">
        <v>309</v>
      </c>
      <c r="F44" s="159" t="s">
        <v>299</v>
      </c>
      <c r="G44" s="159" t="s">
        <v>338</v>
      </c>
      <c r="H44" s="159" t="s">
        <v>95</v>
      </c>
      <c r="I44" s="159" t="s">
        <v>489</v>
      </c>
      <c r="J44" s="159" t="s">
        <v>484</v>
      </c>
      <c r="K44" s="159" t="s">
        <v>490</v>
      </c>
      <c r="L44" s="159" t="s">
        <v>96</v>
      </c>
      <c r="M44" s="159" t="s">
        <v>339</v>
      </c>
      <c r="N44" s="160">
        <v>350981.43741000001</v>
      </c>
    </row>
    <row r="45" spans="2:14">
      <c r="B45" s="159" t="s">
        <v>297</v>
      </c>
      <c r="C45" s="159" t="s">
        <v>298</v>
      </c>
      <c r="D45" s="159" t="s">
        <v>308</v>
      </c>
      <c r="E45" s="159" t="s">
        <v>309</v>
      </c>
      <c r="F45" s="159" t="s">
        <v>299</v>
      </c>
      <c r="G45" s="159" t="s">
        <v>338</v>
      </c>
      <c r="H45" s="159" t="s">
        <v>95</v>
      </c>
      <c r="I45" s="159" t="s">
        <v>491</v>
      </c>
      <c r="J45" s="159" t="s">
        <v>302</v>
      </c>
      <c r="K45" s="159" t="s">
        <v>492</v>
      </c>
      <c r="L45" s="159" t="s">
        <v>96</v>
      </c>
      <c r="M45" s="159" t="s">
        <v>339</v>
      </c>
      <c r="N45" s="160">
        <v>459953.77055999998</v>
      </c>
    </row>
    <row r="46" spans="2:14">
      <c r="B46" s="159" t="s">
        <v>297</v>
      </c>
      <c r="C46" s="159" t="s">
        <v>298</v>
      </c>
      <c r="D46" s="159" t="s">
        <v>308</v>
      </c>
      <c r="E46" s="159" t="s">
        <v>309</v>
      </c>
      <c r="F46" s="159" t="s">
        <v>299</v>
      </c>
      <c r="G46" s="159" t="s">
        <v>338</v>
      </c>
      <c r="H46" s="159" t="s">
        <v>95</v>
      </c>
      <c r="I46" s="159" t="s">
        <v>493</v>
      </c>
      <c r="J46" s="159" t="s">
        <v>492</v>
      </c>
      <c r="K46" s="159" t="s">
        <v>494</v>
      </c>
      <c r="L46" s="159" t="s">
        <v>96</v>
      </c>
      <c r="M46" s="159" t="s">
        <v>339</v>
      </c>
      <c r="N46" s="160">
        <v>144619.23288</v>
      </c>
    </row>
    <row r="47" spans="2:14">
      <c r="B47" s="159" t="s">
        <v>297</v>
      </c>
      <c r="C47" s="159" t="s">
        <v>298</v>
      </c>
      <c r="D47" s="159" t="s">
        <v>308</v>
      </c>
      <c r="E47" s="159" t="s">
        <v>309</v>
      </c>
      <c r="F47" s="159" t="s">
        <v>299</v>
      </c>
      <c r="G47" s="159" t="s">
        <v>338</v>
      </c>
      <c r="H47" s="159" t="s">
        <v>95</v>
      </c>
      <c r="I47" s="159" t="s">
        <v>495</v>
      </c>
      <c r="J47" s="159" t="s">
        <v>494</v>
      </c>
      <c r="K47" s="159" t="s">
        <v>496</v>
      </c>
      <c r="L47" s="159" t="s">
        <v>96</v>
      </c>
      <c r="M47" s="159" t="s">
        <v>339</v>
      </c>
      <c r="N47" s="160">
        <v>101814.13062</v>
      </c>
    </row>
    <row r="48" spans="2:14">
      <c r="B48" s="159" t="s">
        <v>297</v>
      </c>
      <c r="C48" s="159" t="s">
        <v>298</v>
      </c>
      <c r="D48" s="159" t="s">
        <v>308</v>
      </c>
      <c r="E48" s="159" t="s">
        <v>309</v>
      </c>
      <c r="F48" s="159" t="s">
        <v>299</v>
      </c>
      <c r="G48" s="159" t="s">
        <v>338</v>
      </c>
      <c r="H48" s="159" t="s">
        <v>95</v>
      </c>
      <c r="I48" s="159" t="s">
        <v>497</v>
      </c>
      <c r="J48" s="159" t="s">
        <v>494</v>
      </c>
      <c r="K48" s="159" t="s">
        <v>498</v>
      </c>
      <c r="L48" s="159" t="s">
        <v>96</v>
      </c>
      <c r="M48" s="159" t="s">
        <v>339</v>
      </c>
      <c r="N48" s="160">
        <v>22937.314119999999</v>
      </c>
    </row>
    <row r="49" spans="2:14">
      <c r="B49" s="159" t="s">
        <v>297</v>
      </c>
      <c r="C49" s="159" t="s">
        <v>298</v>
      </c>
      <c r="D49" s="159" t="s">
        <v>308</v>
      </c>
      <c r="E49" s="159" t="s">
        <v>309</v>
      </c>
      <c r="F49" s="159" t="s">
        <v>299</v>
      </c>
      <c r="G49" s="159" t="s">
        <v>338</v>
      </c>
      <c r="H49" s="159" t="s">
        <v>95</v>
      </c>
      <c r="I49" s="159" t="s">
        <v>499</v>
      </c>
      <c r="J49" s="159" t="s">
        <v>494</v>
      </c>
      <c r="K49" s="159" t="s">
        <v>500</v>
      </c>
      <c r="L49" s="159" t="s">
        <v>96</v>
      </c>
      <c r="M49" s="159" t="s">
        <v>339</v>
      </c>
      <c r="N49" s="160">
        <v>4788.4674000000005</v>
      </c>
    </row>
    <row r="50" spans="2:14">
      <c r="B50" s="159" t="s">
        <v>297</v>
      </c>
      <c r="C50" s="159" t="s">
        <v>298</v>
      </c>
      <c r="D50" s="159" t="s">
        <v>308</v>
      </c>
      <c r="E50" s="159" t="s">
        <v>309</v>
      </c>
      <c r="F50" s="159" t="s">
        <v>299</v>
      </c>
      <c r="G50" s="159" t="s">
        <v>338</v>
      </c>
      <c r="H50" s="159" t="s">
        <v>95</v>
      </c>
      <c r="I50" s="159" t="s">
        <v>501</v>
      </c>
      <c r="J50" s="159" t="s">
        <v>494</v>
      </c>
      <c r="K50" s="159" t="s">
        <v>502</v>
      </c>
      <c r="L50" s="159" t="s">
        <v>96</v>
      </c>
      <c r="M50" s="159" t="s">
        <v>339</v>
      </c>
      <c r="N50" s="160">
        <v>15079.320729999999</v>
      </c>
    </row>
    <row r="51" spans="2:14">
      <c r="B51" s="159" t="s">
        <v>297</v>
      </c>
      <c r="C51" s="159" t="s">
        <v>298</v>
      </c>
      <c r="D51" s="159" t="s">
        <v>308</v>
      </c>
      <c r="E51" s="159" t="s">
        <v>309</v>
      </c>
      <c r="F51" s="159" t="s">
        <v>299</v>
      </c>
      <c r="G51" s="159" t="s">
        <v>338</v>
      </c>
      <c r="H51" s="159" t="s">
        <v>95</v>
      </c>
      <c r="I51" s="159" t="s">
        <v>503</v>
      </c>
      <c r="J51" s="159" t="s">
        <v>492</v>
      </c>
      <c r="K51" s="159" t="s">
        <v>403</v>
      </c>
      <c r="L51" s="159" t="s">
        <v>96</v>
      </c>
      <c r="M51" s="159" t="s">
        <v>339</v>
      </c>
      <c r="N51" s="160">
        <v>124801.21471</v>
      </c>
    </row>
    <row r="52" spans="2:14">
      <c r="B52" s="159" t="s">
        <v>297</v>
      </c>
      <c r="C52" s="159" t="s">
        <v>298</v>
      </c>
      <c r="D52" s="159" t="s">
        <v>308</v>
      </c>
      <c r="E52" s="159" t="s">
        <v>309</v>
      </c>
      <c r="F52" s="159" t="s">
        <v>299</v>
      </c>
      <c r="G52" s="159" t="s">
        <v>338</v>
      </c>
      <c r="H52" s="159" t="s">
        <v>95</v>
      </c>
      <c r="I52" s="159" t="s">
        <v>504</v>
      </c>
      <c r="J52" s="159" t="s">
        <v>403</v>
      </c>
      <c r="K52" s="159" t="s">
        <v>505</v>
      </c>
      <c r="L52" s="159" t="s">
        <v>96</v>
      </c>
      <c r="M52" s="159" t="s">
        <v>339</v>
      </c>
      <c r="N52" s="160">
        <v>29909.07646</v>
      </c>
    </row>
    <row r="53" spans="2:14">
      <c r="B53" s="159" t="s">
        <v>297</v>
      </c>
      <c r="C53" s="159" t="s">
        <v>298</v>
      </c>
      <c r="D53" s="159" t="s">
        <v>308</v>
      </c>
      <c r="E53" s="159" t="s">
        <v>309</v>
      </c>
      <c r="F53" s="159" t="s">
        <v>299</v>
      </c>
      <c r="G53" s="159" t="s">
        <v>338</v>
      </c>
      <c r="H53" s="159" t="s">
        <v>95</v>
      </c>
      <c r="I53" s="159" t="s">
        <v>506</v>
      </c>
      <c r="J53" s="159" t="s">
        <v>403</v>
      </c>
      <c r="K53" s="159" t="s">
        <v>507</v>
      </c>
      <c r="L53" s="159" t="s">
        <v>96</v>
      </c>
      <c r="M53" s="159" t="s">
        <v>339</v>
      </c>
      <c r="N53" s="160">
        <v>9487.0652800000007</v>
      </c>
    </row>
    <row r="54" spans="2:14">
      <c r="B54" s="159" t="s">
        <v>297</v>
      </c>
      <c r="C54" s="159" t="s">
        <v>298</v>
      </c>
      <c r="D54" s="159" t="s">
        <v>308</v>
      </c>
      <c r="E54" s="159" t="s">
        <v>309</v>
      </c>
      <c r="F54" s="159" t="s">
        <v>299</v>
      </c>
      <c r="G54" s="159" t="s">
        <v>338</v>
      </c>
      <c r="H54" s="159" t="s">
        <v>95</v>
      </c>
      <c r="I54" s="159" t="s">
        <v>402</v>
      </c>
      <c r="J54" s="159" t="s">
        <v>403</v>
      </c>
      <c r="K54" s="159" t="s">
        <v>404</v>
      </c>
      <c r="L54" s="159" t="s">
        <v>96</v>
      </c>
      <c r="M54" s="159" t="s">
        <v>339</v>
      </c>
      <c r="N54" s="160">
        <v>40415.808230000002</v>
      </c>
    </row>
    <row r="55" spans="2:14">
      <c r="B55" s="159" t="s">
        <v>297</v>
      </c>
      <c r="C55" s="159" t="s">
        <v>298</v>
      </c>
      <c r="D55" s="159" t="s">
        <v>308</v>
      </c>
      <c r="E55" s="159" t="s">
        <v>309</v>
      </c>
      <c r="F55" s="159" t="s">
        <v>299</v>
      </c>
      <c r="G55" s="159" t="s">
        <v>338</v>
      </c>
      <c r="H55" s="159" t="s">
        <v>95</v>
      </c>
      <c r="I55" s="159" t="s">
        <v>508</v>
      </c>
      <c r="J55" s="159" t="s">
        <v>403</v>
      </c>
      <c r="K55" s="159" t="s">
        <v>509</v>
      </c>
      <c r="L55" s="159" t="s">
        <v>96</v>
      </c>
      <c r="M55" s="159" t="s">
        <v>339</v>
      </c>
      <c r="N55" s="160">
        <v>11364.7984</v>
      </c>
    </row>
    <row r="56" spans="2:14">
      <c r="B56" s="159" t="s">
        <v>297</v>
      </c>
      <c r="C56" s="159" t="s">
        <v>298</v>
      </c>
      <c r="D56" s="159" t="s">
        <v>308</v>
      </c>
      <c r="E56" s="159" t="s">
        <v>309</v>
      </c>
      <c r="F56" s="159" t="s">
        <v>299</v>
      </c>
      <c r="G56" s="159" t="s">
        <v>338</v>
      </c>
      <c r="H56" s="159" t="s">
        <v>95</v>
      </c>
      <c r="I56" s="159" t="s">
        <v>510</v>
      </c>
      <c r="J56" s="159" t="s">
        <v>403</v>
      </c>
      <c r="K56" s="159" t="s">
        <v>511</v>
      </c>
      <c r="L56" s="159" t="s">
        <v>96</v>
      </c>
      <c r="M56" s="159" t="s">
        <v>339</v>
      </c>
      <c r="N56" s="160">
        <v>2126.9843599999999</v>
      </c>
    </row>
    <row r="57" spans="2:14">
      <c r="B57" s="159" t="s">
        <v>297</v>
      </c>
      <c r="C57" s="159" t="s">
        <v>298</v>
      </c>
      <c r="D57" s="159" t="s">
        <v>308</v>
      </c>
      <c r="E57" s="159" t="s">
        <v>309</v>
      </c>
      <c r="F57" s="159" t="s">
        <v>299</v>
      </c>
      <c r="G57" s="159" t="s">
        <v>338</v>
      </c>
      <c r="H57" s="159" t="s">
        <v>95</v>
      </c>
      <c r="I57" s="159" t="s">
        <v>512</v>
      </c>
      <c r="J57" s="159" t="s">
        <v>403</v>
      </c>
      <c r="K57" s="159" t="s">
        <v>513</v>
      </c>
      <c r="L57" s="159" t="s">
        <v>96</v>
      </c>
      <c r="M57" s="159" t="s">
        <v>339</v>
      </c>
      <c r="N57" s="160">
        <v>545.14351999999997</v>
      </c>
    </row>
    <row r="58" spans="2:14">
      <c r="B58" s="159" t="s">
        <v>297</v>
      </c>
      <c r="C58" s="159" t="s">
        <v>298</v>
      </c>
      <c r="D58" s="159" t="s">
        <v>308</v>
      </c>
      <c r="E58" s="159" t="s">
        <v>309</v>
      </c>
      <c r="F58" s="159" t="s">
        <v>299</v>
      </c>
      <c r="G58" s="159" t="s">
        <v>338</v>
      </c>
      <c r="H58" s="159" t="s">
        <v>95</v>
      </c>
      <c r="I58" s="159" t="s">
        <v>514</v>
      </c>
      <c r="J58" s="159" t="s">
        <v>403</v>
      </c>
      <c r="K58" s="159" t="s">
        <v>515</v>
      </c>
      <c r="L58" s="159" t="s">
        <v>96</v>
      </c>
      <c r="M58" s="159" t="s">
        <v>339</v>
      </c>
      <c r="N58" s="160">
        <v>250.90779000000001</v>
      </c>
    </row>
    <row r="59" spans="2:14">
      <c r="B59" s="159" t="s">
        <v>297</v>
      </c>
      <c r="C59" s="159" t="s">
        <v>298</v>
      </c>
      <c r="D59" s="159" t="s">
        <v>308</v>
      </c>
      <c r="E59" s="159" t="s">
        <v>309</v>
      </c>
      <c r="F59" s="159" t="s">
        <v>299</v>
      </c>
      <c r="G59" s="159" t="s">
        <v>338</v>
      </c>
      <c r="H59" s="159" t="s">
        <v>95</v>
      </c>
      <c r="I59" s="159" t="s">
        <v>516</v>
      </c>
      <c r="J59" s="159" t="s">
        <v>403</v>
      </c>
      <c r="K59" s="159" t="s">
        <v>517</v>
      </c>
      <c r="L59" s="159" t="s">
        <v>96</v>
      </c>
      <c r="M59" s="159" t="s">
        <v>339</v>
      </c>
      <c r="N59" s="160">
        <v>2479.6639300000002</v>
      </c>
    </row>
    <row r="60" spans="2:14">
      <c r="B60" s="159" t="s">
        <v>297</v>
      </c>
      <c r="C60" s="159" t="s">
        <v>298</v>
      </c>
      <c r="D60" s="159" t="s">
        <v>308</v>
      </c>
      <c r="E60" s="159" t="s">
        <v>309</v>
      </c>
      <c r="F60" s="159" t="s">
        <v>299</v>
      </c>
      <c r="G60" s="159" t="s">
        <v>338</v>
      </c>
      <c r="H60" s="159" t="s">
        <v>95</v>
      </c>
      <c r="I60" s="159" t="s">
        <v>518</v>
      </c>
      <c r="J60" s="159" t="s">
        <v>403</v>
      </c>
      <c r="K60" s="159" t="s">
        <v>519</v>
      </c>
      <c r="L60" s="159" t="s">
        <v>96</v>
      </c>
      <c r="M60" s="159" t="s">
        <v>339</v>
      </c>
      <c r="N60" s="160">
        <v>19847.500059999998</v>
      </c>
    </row>
    <row r="61" spans="2:14">
      <c r="B61" s="159" t="s">
        <v>297</v>
      </c>
      <c r="C61" s="159" t="s">
        <v>298</v>
      </c>
      <c r="D61" s="159" t="s">
        <v>308</v>
      </c>
      <c r="E61" s="159" t="s">
        <v>309</v>
      </c>
      <c r="F61" s="159" t="s">
        <v>299</v>
      </c>
      <c r="G61" s="159" t="s">
        <v>338</v>
      </c>
      <c r="H61" s="159" t="s">
        <v>95</v>
      </c>
      <c r="I61" s="159" t="s">
        <v>520</v>
      </c>
      <c r="J61" s="159" t="s">
        <v>403</v>
      </c>
      <c r="K61" s="159" t="s">
        <v>521</v>
      </c>
      <c r="L61" s="159" t="s">
        <v>96</v>
      </c>
      <c r="M61" s="159" t="s">
        <v>339</v>
      </c>
      <c r="N61" s="160">
        <v>8374.2666700000009</v>
      </c>
    </row>
    <row r="62" spans="2:14">
      <c r="B62" s="159" t="s">
        <v>297</v>
      </c>
      <c r="C62" s="159" t="s">
        <v>298</v>
      </c>
      <c r="D62" s="159" t="s">
        <v>308</v>
      </c>
      <c r="E62" s="159" t="s">
        <v>309</v>
      </c>
      <c r="F62" s="159" t="s">
        <v>299</v>
      </c>
      <c r="G62" s="159" t="s">
        <v>338</v>
      </c>
      <c r="H62" s="159" t="s">
        <v>95</v>
      </c>
      <c r="I62" s="159" t="s">
        <v>522</v>
      </c>
      <c r="J62" s="159" t="s">
        <v>492</v>
      </c>
      <c r="K62" s="159" t="s">
        <v>406</v>
      </c>
      <c r="L62" s="159" t="s">
        <v>96</v>
      </c>
      <c r="M62" s="159" t="s">
        <v>339</v>
      </c>
      <c r="N62" s="160">
        <v>97037.302960000001</v>
      </c>
    </row>
    <row r="63" spans="2:14">
      <c r="B63" s="159" t="s">
        <v>297</v>
      </c>
      <c r="C63" s="159" t="s">
        <v>298</v>
      </c>
      <c r="D63" s="159" t="s">
        <v>308</v>
      </c>
      <c r="E63" s="159" t="s">
        <v>309</v>
      </c>
      <c r="F63" s="159" t="s">
        <v>299</v>
      </c>
      <c r="G63" s="159" t="s">
        <v>338</v>
      </c>
      <c r="H63" s="159" t="s">
        <v>95</v>
      </c>
      <c r="I63" s="159" t="s">
        <v>523</v>
      </c>
      <c r="J63" s="159" t="s">
        <v>406</v>
      </c>
      <c r="K63" s="159" t="s">
        <v>524</v>
      </c>
      <c r="L63" s="159" t="s">
        <v>96</v>
      </c>
      <c r="M63" s="159" t="s">
        <v>339</v>
      </c>
      <c r="N63" s="160">
        <v>81874.858749999999</v>
      </c>
    </row>
    <row r="64" spans="2:14">
      <c r="B64" s="159" t="s">
        <v>297</v>
      </c>
      <c r="C64" s="159" t="s">
        <v>298</v>
      </c>
      <c r="D64" s="159" t="s">
        <v>308</v>
      </c>
      <c r="E64" s="159" t="s">
        <v>309</v>
      </c>
      <c r="F64" s="159" t="s">
        <v>299</v>
      </c>
      <c r="G64" s="159" t="s">
        <v>338</v>
      </c>
      <c r="H64" s="159" t="s">
        <v>95</v>
      </c>
      <c r="I64" s="159" t="s">
        <v>525</v>
      </c>
      <c r="J64" s="159" t="s">
        <v>406</v>
      </c>
      <c r="K64" s="159" t="s">
        <v>526</v>
      </c>
      <c r="L64" s="159" t="s">
        <v>96</v>
      </c>
      <c r="M64" s="159" t="s">
        <v>339</v>
      </c>
      <c r="N64" s="160">
        <v>2657.5197899999998</v>
      </c>
    </row>
    <row r="65" spans="2:14">
      <c r="B65" s="159" t="s">
        <v>297</v>
      </c>
      <c r="C65" s="159" t="s">
        <v>298</v>
      </c>
      <c r="D65" s="159" t="s">
        <v>308</v>
      </c>
      <c r="E65" s="159" t="s">
        <v>309</v>
      </c>
      <c r="F65" s="159" t="s">
        <v>299</v>
      </c>
      <c r="G65" s="159" t="s">
        <v>338</v>
      </c>
      <c r="H65" s="159" t="s">
        <v>95</v>
      </c>
      <c r="I65" s="159" t="s">
        <v>405</v>
      </c>
      <c r="J65" s="159" t="s">
        <v>406</v>
      </c>
      <c r="K65" s="159" t="s">
        <v>407</v>
      </c>
      <c r="L65" s="159" t="s">
        <v>96</v>
      </c>
      <c r="M65" s="159" t="s">
        <v>339</v>
      </c>
      <c r="N65" s="160">
        <v>8030.5424700000003</v>
      </c>
    </row>
    <row r="66" spans="2:14">
      <c r="B66" s="159" t="s">
        <v>297</v>
      </c>
      <c r="C66" s="159" t="s">
        <v>298</v>
      </c>
      <c r="D66" s="159" t="s">
        <v>308</v>
      </c>
      <c r="E66" s="159" t="s">
        <v>309</v>
      </c>
      <c r="F66" s="159" t="s">
        <v>299</v>
      </c>
      <c r="G66" s="159" t="s">
        <v>338</v>
      </c>
      <c r="H66" s="159" t="s">
        <v>95</v>
      </c>
      <c r="I66" s="159" t="s">
        <v>527</v>
      </c>
      <c r="J66" s="159" t="s">
        <v>406</v>
      </c>
      <c r="K66" s="159" t="s">
        <v>528</v>
      </c>
      <c r="L66" s="159" t="s">
        <v>96</v>
      </c>
      <c r="M66" s="159" t="s">
        <v>339</v>
      </c>
      <c r="N66" s="160">
        <v>1074.9389100000001</v>
      </c>
    </row>
    <row r="67" spans="2:14">
      <c r="B67" s="159" t="s">
        <v>297</v>
      </c>
      <c r="C67" s="159" t="s">
        <v>298</v>
      </c>
      <c r="D67" s="159" t="s">
        <v>308</v>
      </c>
      <c r="E67" s="159" t="s">
        <v>309</v>
      </c>
      <c r="F67" s="159" t="s">
        <v>299</v>
      </c>
      <c r="G67" s="159" t="s">
        <v>338</v>
      </c>
      <c r="H67" s="159" t="s">
        <v>95</v>
      </c>
      <c r="I67" s="159" t="s">
        <v>529</v>
      </c>
      <c r="J67" s="159" t="s">
        <v>406</v>
      </c>
      <c r="K67" s="159" t="s">
        <v>530</v>
      </c>
      <c r="L67" s="159" t="s">
        <v>96</v>
      </c>
      <c r="M67" s="159" t="s">
        <v>339</v>
      </c>
      <c r="N67" s="160">
        <v>317.47044</v>
      </c>
    </row>
    <row r="68" spans="2:14">
      <c r="B68" s="159" t="s">
        <v>297</v>
      </c>
      <c r="C68" s="159" t="s">
        <v>298</v>
      </c>
      <c r="D68" s="159" t="s">
        <v>308</v>
      </c>
      <c r="E68" s="159" t="s">
        <v>309</v>
      </c>
      <c r="F68" s="159" t="s">
        <v>299</v>
      </c>
      <c r="G68" s="159" t="s">
        <v>338</v>
      </c>
      <c r="H68" s="159" t="s">
        <v>95</v>
      </c>
      <c r="I68" s="159" t="s">
        <v>531</v>
      </c>
      <c r="J68" s="159" t="s">
        <v>406</v>
      </c>
      <c r="K68" s="159" t="s">
        <v>532</v>
      </c>
      <c r="L68" s="159" t="s">
        <v>96</v>
      </c>
      <c r="M68" s="159" t="s">
        <v>339</v>
      </c>
      <c r="N68" s="160">
        <v>1409.2407499999999</v>
      </c>
    </row>
    <row r="69" spans="2:14">
      <c r="B69" s="159" t="s">
        <v>297</v>
      </c>
      <c r="C69" s="159" t="s">
        <v>298</v>
      </c>
      <c r="D69" s="159" t="s">
        <v>308</v>
      </c>
      <c r="E69" s="159" t="s">
        <v>309</v>
      </c>
      <c r="F69" s="159" t="s">
        <v>299</v>
      </c>
      <c r="G69" s="159" t="s">
        <v>338</v>
      </c>
      <c r="H69" s="159" t="s">
        <v>95</v>
      </c>
      <c r="I69" s="159" t="s">
        <v>533</v>
      </c>
      <c r="J69" s="159" t="s">
        <v>406</v>
      </c>
      <c r="K69" s="159" t="s">
        <v>534</v>
      </c>
      <c r="L69" s="159" t="s">
        <v>96</v>
      </c>
      <c r="M69" s="159" t="s">
        <v>339</v>
      </c>
      <c r="N69" s="160">
        <v>1672.7318499999999</v>
      </c>
    </row>
    <row r="70" spans="2:14">
      <c r="B70" s="159" t="s">
        <v>297</v>
      </c>
      <c r="C70" s="159" t="s">
        <v>298</v>
      </c>
      <c r="D70" s="159" t="s">
        <v>308</v>
      </c>
      <c r="E70" s="159" t="s">
        <v>309</v>
      </c>
      <c r="F70" s="159" t="s">
        <v>299</v>
      </c>
      <c r="G70" s="159" t="s">
        <v>338</v>
      </c>
      <c r="H70" s="159" t="s">
        <v>95</v>
      </c>
      <c r="I70" s="159" t="s">
        <v>535</v>
      </c>
      <c r="J70" s="159" t="s">
        <v>492</v>
      </c>
      <c r="K70" s="159" t="s">
        <v>536</v>
      </c>
      <c r="L70" s="159" t="s">
        <v>96</v>
      </c>
      <c r="M70" s="159" t="s">
        <v>339</v>
      </c>
      <c r="N70" s="160">
        <v>11603.199420000001</v>
      </c>
    </row>
    <row r="71" spans="2:14">
      <c r="B71" s="159" t="s">
        <v>297</v>
      </c>
      <c r="C71" s="159" t="s">
        <v>298</v>
      </c>
      <c r="D71" s="159" t="s">
        <v>308</v>
      </c>
      <c r="E71" s="159" t="s">
        <v>309</v>
      </c>
      <c r="F71" s="159" t="s">
        <v>299</v>
      </c>
      <c r="G71" s="159" t="s">
        <v>338</v>
      </c>
      <c r="H71" s="159" t="s">
        <v>95</v>
      </c>
      <c r="I71" s="159" t="s">
        <v>537</v>
      </c>
      <c r="J71" s="159" t="s">
        <v>536</v>
      </c>
      <c r="K71" s="159" t="s">
        <v>538</v>
      </c>
      <c r="L71" s="159" t="s">
        <v>96</v>
      </c>
      <c r="M71" s="159" t="s">
        <v>339</v>
      </c>
      <c r="N71" s="160">
        <v>3622.7912700000002</v>
      </c>
    </row>
    <row r="72" spans="2:14">
      <c r="B72" s="159" t="s">
        <v>297</v>
      </c>
      <c r="C72" s="159" t="s">
        <v>298</v>
      </c>
      <c r="D72" s="159" t="s">
        <v>308</v>
      </c>
      <c r="E72" s="159" t="s">
        <v>309</v>
      </c>
      <c r="F72" s="159" t="s">
        <v>299</v>
      </c>
      <c r="G72" s="159" t="s">
        <v>338</v>
      </c>
      <c r="H72" s="159" t="s">
        <v>95</v>
      </c>
      <c r="I72" s="159" t="s">
        <v>539</v>
      </c>
      <c r="J72" s="159" t="s">
        <v>536</v>
      </c>
      <c r="K72" s="159" t="s">
        <v>540</v>
      </c>
      <c r="L72" s="159" t="s">
        <v>96</v>
      </c>
      <c r="M72" s="159" t="s">
        <v>339</v>
      </c>
      <c r="N72" s="160">
        <v>1251.0844</v>
      </c>
    </row>
    <row r="73" spans="2:14">
      <c r="B73" s="159" t="s">
        <v>297</v>
      </c>
      <c r="C73" s="159" t="s">
        <v>298</v>
      </c>
      <c r="D73" s="159" t="s">
        <v>308</v>
      </c>
      <c r="E73" s="159" t="s">
        <v>309</v>
      </c>
      <c r="F73" s="159" t="s">
        <v>299</v>
      </c>
      <c r="G73" s="159" t="s">
        <v>338</v>
      </c>
      <c r="H73" s="159" t="s">
        <v>95</v>
      </c>
      <c r="I73" s="159" t="s">
        <v>541</v>
      </c>
      <c r="J73" s="159" t="s">
        <v>536</v>
      </c>
      <c r="K73" s="159" t="s">
        <v>542</v>
      </c>
      <c r="L73" s="159" t="s">
        <v>96</v>
      </c>
      <c r="M73" s="159" t="s">
        <v>339</v>
      </c>
      <c r="N73" s="160">
        <v>6729.3237499999996</v>
      </c>
    </row>
    <row r="74" spans="2:14">
      <c r="B74" s="159" t="s">
        <v>297</v>
      </c>
      <c r="C74" s="159" t="s">
        <v>298</v>
      </c>
      <c r="D74" s="159" t="s">
        <v>308</v>
      </c>
      <c r="E74" s="159" t="s">
        <v>309</v>
      </c>
      <c r="F74" s="159" t="s">
        <v>299</v>
      </c>
      <c r="G74" s="159" t="s">
        <v>338</v>
      </c>
      <c r="H74" s="159" t="s">
        <v>95</v>
      </c>
      <c r="I74" s="159" t="s">
        <v>543</v>
      </c>
      <c r="J74" s="159" t="s">
        <v>492</v>
      </c>
      <c r="K74" s="159" t="s">
        <v>544</v>
      </c>
      <c r="L74" s="159" t="s">
        <v>96</v>
      </c>
      <c r="M74" s="159" t="s">
        <v>339</v>
      </c>
      <c r="N74" s="160">
        <v>2130.81061</v>
      </c>
    </row>
    <row r="75" spans="2:14">
      <c r="B75" s="159" t="s">
        <v>297</v>
      </c>
      <c r="C75" s="159" t="s">
        <v>298</v>
      </c>
      <c r="D75" s="159" t="s">
        <v>308</v>
      </c>
      <c r="E75" s="159" t="s">
        <v>309</v>
      </c>
      <c r="F75" s="159" t="s">
        <v>299</v>
      </c>
      <c r="G75" s="159" t="s">
        <v>338</v>
      </c>
      <c r="H75" s="159" t="s">
        <v>95</v>
      </c>
      <c r="I75" s="159" t="s">
        <v>545</v>
      </c>
      <c r="J75" s="159" t="s">
        <v>544</v>
      </c>
      <c r="K75" s="159" t="s">
        <v>546</v>
      </c>
      <c r="L75" s="159" t="s">
        <v>96</v>
      </c>
      <c r="M75" s="159" t="s">
        <v>339</v>
      </c>
      <c r="N75" s="160">
        <v>2106.32737</v>
      </c>
    </row>
    <row r="76" spans="2:14">
      <c r="B76" s="159" t="s">
        <v>297</v>
      </c>
      <c r="C76" s="159" t="s">
        <v>298</v>
      </c>
      <c r="D76" s="159" t="s">
        <v>308</v>
      </c>
      <c r="E76" s="159" t="s">
        <v>309</v>
      </c>
      <c r="F76" s="159" t="s">
        <v>299</v>
      </c>
      <c r="G76" s="159" t="s">
        <v>338</v>
      </c>
      <c r="H76" s="159" t="s">
        <v>95</v>
      </c>
      <c r="I76" s="159" t="s">
        <v>547</v>
      </c>
      <c r="J76" s="159" t="s">
        <v>544</v>
      </c>
      <c r="K76" s="159" t="s">
        <v>548</v>
      </c>
      <c r="L76" s="159" t="s">
        <v>96</v>
      </c>
      <c r="M76" s="159" t="s">
        <v>339</v>
      </c>
      <c r="N76" s="160">
        <v>21.812930000000001</v>
      </c>
    </row>
    <row r="77" spans="2:14">
      <c r="B77" s="159" t="s">
        <v>297</v>
      </c>
      <c r="C77" s="159" t="s">
        <v>298</v>
      </c>
      <c r="D77" s="159" t="s">
        <v>308</v>
      </c>
      <c r="E77" s="159" t="s">
        <v>309</v>
      </c>
      <c r="F77" s="159" t="s">
        <v>299</v>
      </c>
      <c r="G77" s="159" t="s">
        <v>338</v>
      </c>
      <c r="H77" s="159" t="s">
        <v>95</v>
      </c>
      <c r="I77" s="159" t="s">
        <v>549</v>
      </c>
      <c r="J77" s="159" t="s">
        <v>544</v>
      </c>
      <c r="K77" s="159" t="s">
        <v>550</v>
      </c>
      <c r="L77" s="159" t="s">
        <v>96</v>
      </c>
      <c r="M77" s="159" t="s">
        <v>339</v>
      </c>
      <c r="N77" s="160">
        <v>2.6703100000000002</v>
      </c>
    </row>
    <row r="78" spans="2:14">
      <c r="B78" s="159" t="s">
        <v>297</v>
      </c>
      <c r="C78" s="159" t="s">
        <v>298</v>
      </c>
      <c r="D78" s="159" t="s">
        <v>308</v>
      </c>
      <c r="E78" s="159" t="s">
        <v>309</v>
      </c>
      <c r="F78" s="159" t="s">
        <v>299</v>
      </c>
      <c r="G78" s="159" t="s">
        <v>338</v>
      </c>
      <c r="H78" s="159" t="s">
        <v>95</v>
      </c>
      <c r="I78" s="159" t="s">
        <v>551</v>
      </c>
      <c r="J78" s="159" t="s">
        <v>544</v>
      </c>
      <c r="K78" s="159" t="s">
        <v>552</v>
      </c>
      <c r="L78" s="159" t="s">
        <v>482</v>
      </c>
      <c r="M78" s="159" t="s">
        <v>339</v>
      </c>
      <c r="N78" s="160">
        <v>0</v>
      </c>
    </row>
    <row r="79" spans="2:14">
      <c r="B79" s="159" t="s">
        <v>297</v>
      </c>
      <c r="C79" s="159" t="s">
        <v>298</v>
      </c>
      <c r="D79" s="159" t="s">
        <v>308</v>
      </c>
      <c r="E79" s="159" t="s">
        <v>309</v>
      </c>
      <c r="F79" s="159" t="s">
        <v>299</v>
      </c>
      <c r="G79" s="159" t="s">
        <v>338</v>
      </c>
      <c r="H79" s="159" t="s">
        <v>95</v>
      </c>
      <c r="I79" s="159" t="s">
        <v>553</v>
      </c>
      <c r="J79" s="159" t="s">
        <v>492</v>
      </c>
      <c r="K79" s="159" t="s">
        <v>554</v>
      </c>
      <c r="L79" s="159" t="s">
        <v>96</v>
      </c>
      <c r="M79" s="159" t="s">
        <v>339</v>
      </c>
      <c r="N79" s="160">
        <v>68198.818079999997</v>
      </c>
    </row>
    <row r="80" spans="2:14">
      <c r="B80" s="159" t="s">
        <v>297</v>
      </c>
      <c r="C80" s="159" t="s">
        <v>298</v>
      </c>
      <c r="D80" s="159" t="s">
        <v>308</v>
      </c>
      <c r="E80" s="159" t="s">
        <v>309</v>
      </c>
      <c r="F80" s="159" t="s">
        <v>299</v>
      </c>
      <c r="G80" s="159" t="s">
        <v>338</v>
      </c>
      <c r="H80" s="159" t="s">
        <v>95</v>
      </c>
      <c r="I80" s="159" t="s">
        <v>555</v>
      </c>
      <c r="J80" s="159" t="s">
        <v>554</v>
      </c>
      <c r="K80" s="159" t="s">
        <v>556</v>
      </c>
      <c r="L80" s="159" t="s">
        <v>96</v>
      </c>
      <c r="M80" s="159" t="s">
        <v>339</v>
      </c>
      <c r="N80" s="160">
        <v>55172.833989999999</v>
      </c>
    </row>
    <row r="81" spans="2:14">
      <c r="B81" s="159" t="s">
        <v>297</v>
      </c>
      <c r="C81" s="159" t="s">
        <v>298</v>
      </c>
      <c r="D81" s="159" t="s">
        <v>308</v>
      </c>
      <c r="E81" s="159" t="s">
        <v>309</v>
      </c>
      <c r="F81" s="159" t="s">
        <v>299</v>
      </c>
      <c r="G81" s="159" t="s">
        <v>338</v>
      </c>
      <c r="H81" s="159" t="s">
        <v>95</v>
      </c>
      <c r="I81" s="159" t="s">
        <v>557</v>
      </c>
      <c r="J81" s="159" t="s">
        <v>554</v>
      </c>
      <c r="K81" s="159" t="s">
        <v>558</v>
      </c>
      <c r="L81" s="159" t="s">
        <v>96</v>
      </c>
      <c r="M81" s="159" t="s">
        <v>339</v>
      </c>
      <c r="N81" s="160">
        <v>4373.8195500000002</v>
      </c>
    </row>
    <row r="82" spans="2:14">
      <c r="B82" s="159" t="s">
        <v>297</v>
      </c>
      <c r="C82" s="159" t="s">
        <v>298</v>
      </c>
      <c r="D82" s="159" t="s">
        <v>308</v>
      </c>
      <c r="E82" s="159" t="s">
        <v>309</v>
      </c>
      <c r="F82" s="159" t="s">
        <v>299</v>
      </c>
      <c r="G82" s="159" t="s">
        <v>338</v>
      </c>
      <c r="H82" s="159" t="s">
        <v>95</v>
      </c>
      <c r="I82" s="159" t="s">
        <v>559</v>
      </c>
      <c r="J82" s="159" t="s">
        <v>554</v>
      </c>
      <c r="K82" s="159" t="s">
        <v>560</v>
      </c>
      <c r="L82" s="159" t="s">
        <v>96</v>
      </c>
      <c r="M82" s="159" t="s">
        <v>339</v>
      </c>
      <c r="N82" s="160">
        <v>1252.6036099999999</v>
      </c>
    </row>
    <row r="83" spans="2:14">
      <c r="B83" s="159" t="s">
        <v>297</v>
      </c>
      <c r="C83" s="159" t="s">
        <v>298</v>
      </c>
      <c r="D83" s="159" t="s">
        <v>308</v>
      </c>
      <c r="E83" s="159" t="s">
        <v>309</v>
      </c>
      <c r="F83" s="159" t="s">
        <v>299</v>
      </c>
      <c r="G83" s="159" t="s">
        <v>338</v>
      </c>
      <c r="H83" s="159" t="s">
        <v>95</v>
      </c>
      <c r="I83" s="159" t="s">
        <v>561</v>
      </c>
      <c r="J83" s="159" t="s">
        <v>554</v>
      </c>
      <c r="K83" s="159" t="s">
        <v>562</v>
      </c>
      <c r="L83" s="159" t="s">
        <v>96</v>
      </c>
      <c r="M83" s="159" t="s">
        <v>339</v>
      </c>
      <c r="N83" s="160">
        <v>6943.8430099999996</v>
      </c>
    </row>
    <row r="84" spans="2:14">
      <c r="B84" s="159" t="s">
        <v>297</v>
      </c>
      <c r="C84" s="159" t="s">
        <v>298</v>
      </c>
      <c r="D84" s="159" t="s">
        <v>308</v>
      </c>
      <c r="E84" s="159" t="s">
        <v>309</v>
      </c>
      <c r="F84" s="159" t="s">
        <v>299</v>
      </c>
      <c r="G84" s="159" t="s">
        <v>338</v>
      </c>
      <c r="H84" s="159" t="s">
        <v>95</v>
      </c>
      <c r="I84" s="159" t="s">
        <v>563</v>
      </c>
      <c r="J84" s="159" t="s">
        <v>554</v>
      </c>
      <c r="K84" s="159" t="s">
        <v>564</v>
      </c>
      <c r="L84" s="159" t="s">
        <v>96</v>
      </c>
      <c r="M84" s="159" t="s">
        <v>339</v>
      </c>
      <c r="N84" s="160">
        <v>183.03299999999999</v>
      </c>
    </row>
    <row r="85" spans="2:14">
      <c r="B85" s="159" t="s">
        <v>297</v>
      </c>
      <c r="C85" s="159" t="s">
        <v>298</v>
      </c>
      <c r="D85" s="159" t="s">
        <v>308</v>
      </c>
      <c r="E85" s="159" t="s">
        <v>309</v>
      </c>
      <c r="F85" s="159" t="s">
        <v>299</v>
      </c>
      <c r="G85" s="159" t="s">
        <v>338</v>
      </c>
      <c r="H85" s="159" t="s">
        <v>95</v>
      </c>
      <c r="I85" s="159" t="s">
        <v>565</v>
      </c>
      <c r="J85" s="159" t="s">
        <v>554</v>
      </c>
      <c r="K85" s="159" t="s">
        <v>566</v>
      </c>
      <c r="L85" s="159" t="s">
        <v>96</v>
      </c>
      <c r="M85" s="159" t="s">
        <v>339</v>
      </c>
      <c r="N85" s="160">
        <v>272.68491999999998</v>
      </c>
    </row>
    <row r="86" spans="2:14">
      <c r="B86" s="159" t="s">
        <v>297</v>
      </c>
      <c r="C86" s="159" t="s">
        <v>298</v>
      </c>
      <c r="D86" s="159" t="s">
        <v>308</v>
      </c>
      <c r="E86" s="159" t="s">
        <v>309</v>
      </c>
      <c r="F86" s="159" t="s">
        <v>299</v>
      </c>
      <c r="G86" s="159" t="s">
        <v>338</v>
      </c>
      <c r="H86" s="159" t="s">
        <v>95</v>
      </c>
      <c r="I86" s="159" t="s">
        <v>567</v>
      </c>
      <c r="J86" s="159" t="s">
        <v>492</v>
      </c>
      <c r="K86" s="159" t="s">
        <v>568</v>
      </c>
      <c r="L86" s="159" t="s">
        <v>96</v>
      </c>
      <c r="M86" s="159" t="s">
        <v>339</v>
      </c>
      <c r="N86" s="160">
        <v>11072.190780000001</v>
      </c>
    </row>
    <row r="87" spans="2:14">
      <c r="B87" s="159" t="s">
        <v>297</v>
      </c>
      <c r="C87" s="159" t="s">
        <v>298</v>
      </c>
      <c r="D87" s="159" t="s">
        <v>308</v>
      </c>
      <c r="E87" s="159" t="s">
        <v>309</v>
      </c>
      <c r="F87" s="159" t="s">
        <v>299</v>
      </c>
      <c r="G87" s="159" t="s">
        <v>338</v>
      </c>
      <c r="H87" s="159" t="s">
        <v>95</v>
      </c>
      <c r="I87" s="159" t="s">
        <v>569</v>
      </c>
      <c r="J87" s="159" t="s">
        <v>492</v>
      </c>
      <c r="K87" s="159" t="s">
        <v>570</v>
      </c>
      <c r="L87" s="159" t="s">
        <v>96</v>
      </c>
      <c r="M87" s="159" t="s">
        <v>339</v>
      </c>
      <c r="N87" s="160">
        <v>491.00112000000001</v>
      </c>
    </row>
    <row r="88" spans="2:14">
      <c r="B88" s="159" t="s">
        <v>297</v>
      </c>
      <c r="C88" s="159" t="s">
        <v>298</v>
      </c>
      <c r="D88" s="159" t="s">
        <v>308</v>
      </c>
      <c r="E88" s="159" t="s">
        <v>309</v>
      </c>
      <c r="F88" s="159" t="s">
        <v>299</v>
      </c>
      <c r="G88" s="159" t="s">
        <v>338</v>
      </c>
      <c r="H88" s="159" t="s">
        <v>95</v>
      </c>
      <c r="I88" s="159" t="s">
        <v>301</v>
      </c>
      <c r="J88" s="159" t="s">
        <v>302</v>
      </c>
      <c r="K88" s="159" t="s">
        <v>303</v>
      </c>
      <c r="L88" s="159" t="s">
        <v>96</v>
      </c>
      <c r="M88" s="159" t="s">
        <v>339</v>
      </c>
      <c r="N88" s="160">
        <v>439848.69362999999</v>
      </c>
    </row>
    <row r="89" spans="2:14">
      <c r="B89" s="159" t="s">
        <v>297</v>
      </c>
      <c r="C89" s="159" t="s">
        <v>298</v>
      </c>
      <c r="D89" s="159" t="s">
        <v>308</v>
      </c>
      <c r="E89" s="159" t="s">
        <v>309</v>
      </c>
      <c r="F89" s="159" t="s">
        <v>299</v>
      </c>
      <c r="G89" s="159" t="s">
        <v>338</v>
      </c>
      <c r="H89" s="159" t="s">
        <v>95</v>
      </c>
      <c r="I89" s="159" t="s">
        <v>571</v>
      </c>
      <c r="J89" s="159" t="s">
        <v>303</v>
      </c>
      <c r="K89" s="159" t="s">
        <v>572</v>
      </c>
      <c r="L89" s="159" t="s">
        <v>96</v>
      </c>
      <c r="M89" s="159" t="s">
        <v>339</v>
      </c>
      <c r="N89" s="160">
        <v>265365.35595</v>
      </c>
    </row>
    <row r="90" spans="2:14">
      <c r="B90" s="159" t="s">
        <v>297</v>
      </c>
      <c r="C90" s="159" t="s">
        <v>298</v>
      </c>
      <c r="D90" s="159" t="s">
        <v>308</v>
      </c>
      <c r="E90" s="159" t="s">
        <v>309</v>
      </c>
      <c r="F90" s="159" t="s">
        <v>299</v>
      </c>
      <c r="G90" s="159" t="s">
        <v>338</v>
      </c>
      <c r="H90" s="159" t="s">
        <v>95</v>
      </c>
      <c r="I90" s="159" t="s">
        <v>573</v>
      </c>
      <c r="J90" s="159" t="s">
        <v>572</v>
      </c>
      <c r="K90" s="159" t="s">
        <v>574</v>
      </c>
      <c r="L90" s="159" t="s">
        <v>96</v>
      </c>
      <c r="M90" s="159" t="s">
        <v>339</v>
      </c>
      <c r="N90" s="160">
        <v>194704.05974999999</v>
      </c>
    </row>
    <row r="91" spans="2:14">
      <c r="B91" s="159" t="s">
        <v>297</v>
      </c>
      <c r="C91" s="159" t="s">
        <v>298</v>
      </c>
      <c r="D91" s="159" t="s">
        <v>308</v>
      </c>
      <c r="E91" s="159" t="s">
        <v>309</v>
      </c>
      <c r="F91" s="159" t="s">
        <v>299</v>
      </c>
      <c r="G91" s="159" t="s">
        <v>338</v>
      </c>
      <c r="H91" s="159" t="s">
        <v>95</v>
      </c>
      <c r="I91" s="159" t="s">
        <v>575</v>
      </c>
      <c r="J91" s="159" t="s">
        <v>574</v>
      </c>
      <c r="K91" s="159" t="s">
        <v>576</v>
      </c>
      <c r="L91" s="159" t="s">
        <v>96</v>
      </c>
      <c r="M91" s="159" t="s">
        <v>339</v>
      </c>
      <c r="N91" s="160">
        <v>160940.27285000001</v>
      </c>
    </row>
    <row r="92" spans="2:14">
      <c r="B92" s="159" t="s">
        <v>297</v>
      </c>
      <c r="C92" s="159" t="s">
        <v>298</v>
      </c>
      <c r="D92" s="159" t="s">
        <v>308</v>
      </c>
      <c r="E92" s="159" t="s">
        <v>309</v>
      </c>
      <c r="F92" s="159" t="s">
        <v>299</v>
      </c>
      <c r="G92" s="159" t="s">
        <v>338</v>
      </c>
      <c r="H92" s="159" t="s">
        <v>95</v>
      </c>
      <c r="I92" s="159" t="s">
        <v>577</v>
      </c>
      <c r="J92" s="159" t="s">
        <v>574</v>
      </c>
      <c r="K92" s="159" t="s">
        <v>578</v>
      </c>
      <c r="L92" s="159" t="s">
        <v>96</v>
      </c>
      <c r="M92" s="159" t="s">
        <v>339</v>
      </c>
      <c r="N92" s="160">
        <v>22494.526000000002</v>
      </c>
    </row>
    <row r="93" spans="2:14">
      <c r="B93" s="159" t="s">
        <v>297</v>
      </c>
      <c r="C93" s="159" t="s">
        <v>298</v>
      </c>
      <c r="D93" s="159" t="s">
        <v>308</v>
      </c>
      <c r="E93" s="159" t="s">
        <v>309</v>
      </c>
      <c r="F93" s="159" t="s">
        <v>299</v>
      </c>
      <c r="G93" s="159" t="s">
        <v>338</v>
      </c>
      <c r="H93" s="159" t="s">
        <v>95</v>
      </c>
      <c r="I93" s="159" t="s">
        <v>579</v>
      </c>
      <c r="J93" s="159" t="s">
        <v>574</v>
      </c>
      <c r="K93" s="159" t="s">
        <v>580</v>
      </c>
      <c r="L93" s="159" t="s">
        <v>96</v>
      </c>
      <c r="M93" s="159" t="s">
        <v>339</v>
      </c>
      <c r="N93" s="160">
        <v>4964.2818900000002</v>
      </c>
    </row>
    <row r="94" spans="2:14">
      <c r="B94" s="159" t="s">
        <v>297</v>
      </c>
      <c r="C94" s="159" t="s">
        <v>298</v>
      </c>
      <c r="D94" s="159" t="s">
        <v>308</v>
      </c>
      <c r="E94" s="159" t="s">
        <v>309</v>
      </c>
      <c r="F94" s="159" t="s">
        <v>299</v>
      </c>
      <c r="G94" s="159" t="s">
        <v>338</v>
      </c>
      <c r="H94" s="159" t="s">
        <v>95</v>
      </c>
      <c r="I94" s="159" t="s">
        <v>581</v>
      </c>
      <c r="J94" s="159" t="s">
        <v>574</v>
      </c>
      <c r="K94" s="159" t="s">
        <v>582</v>
      </c>
      <c r="L94" s="159" t="s">
        <v>96</v>
      </c>
      <c r="M94" s="159" t="s">
        <v>339</v>
      </c>
      <c r="N94" s="160">
        <v>6304.97901</v>
      </c>
    </row>
    <row r="95" spans="2:14">
      <c r="B95" s="159" t="s">
        <v>297</v>
      </c>
      <c r="C95" s="159" t="s">
        <v>298</v>
      </c>
      <c r="D95" s="159" t="s">
        <v>308</v>
      </c>
      <c r="E95" s="159" t="s">
        <v>309</v>
      </c>
      <c r="F95" s="159" t="s">
        <v>299</v>
      </c>
      <c r="G95" s="159" t="s">
        <v>338</v>
      </c>
      <c r="H95" s="159" t="s">
        <v>95</v>
      </c>
      <c r="I95" s="159" t="s">
        <v>583</v>
      </c>
      <c r="J95" s="159" t="s">
        <v>572</v>
      </c>
      <c r="K95" s="159" t="s">
        <v>584</v>
      </c>
      <c r="L95" s="159" t="s">
        <v>96</v>
      </c>
      <c r="M95" s="159" t="s">
        <v>339</v>
      </c>
      <c r="N95" s="160">
        <v>70661.29621</v>
      </c>
    </row>
    <row r="96" spans="2:14">
      <c r="B96" s="159" t="s">
        <v>297</v>
      </c>
      <c r="C96" s="159" t="s">
        <v>298</v>
      </c>
      <c r="D96" s="159" t="s">
        <v>308</v>
      </c>
      <c r="E96" s="159" t="s">
        <v>309</v>
      </c>
      <c r="F96" s="159" t="s">
        <v>299</v>
      </c>
      <c r="G96" s="159" t="s">
        <v>338</v>
      </c>
      <c r="H96" s="159" t="s">
        <v>95</v>
      </c>
      <c r="I96" s="159" t="s">
        <v>585</v>
      </c>
      <c r="J96" s="159" t="s">
        <v>584</v>
      </c>
      <c r="K96" s="159" t="s">
        <v>586</v>
      </c>
      <c r="L96" s="159" t="s">
        <v>96</v>
      </c>
      <c r="M96" s="159" t="s">
        <v>339</v>
      </c>
      <c r="N96" s="160">
        <v>29899.185160000001</v>
      </c>
    </row>
    <row r="97" spans="2:14">
      <c r="B97" s="159" t="s">
        <v>297</v>
      </c>
      <c r="C97" s="159" t="s">
        <v>298</v>
      </c>
      <c r="D97" s="159" t="s">
        <v>308</v>
      </c>
      <c r="E97" s="159" t="s">
        <v>309</v>
      </c>
      <c r="F97" s="159" t="s">
        <v>299</v>
      </c>
      <c r="G97" s="159" t="s">
        <v>338</v>
      </c>
      <c r="H97" s="159" t="s">
        <v>95</v>
      </c>
      <c r="I97" s="159" t="s">
        <v>587</v>
      </c>
      <c r="J97" s="159" t="s">
        <v>584</v>
      </c>
      <c r="K97" s="159" t="s">
        <v>588</v>
      </c>
      <c r="L97" s="159" t="s">
        <v>96</v>
      </c>
      <c r="M97" s="159" t="s">
        <v>339</v>
      </c>
      <c r="N97" s="160">
        <v>1360.4588200000001</v>
      </c>
    </row>
    <row r="98" spans="2:14">
      <c r="B98" s="159" t="s">
        <v>297</v>
      </c>
      <c r="C98" s="159" t="s">
        <v>298</v>
      </c>
      <c r="D98" s="159" t="s">
        <v>308</v>
      </c>
      <c r="E98" s="159" t="s">
        <v>309</v>
      </c>
      <c r="F98" s="159" t="s">
        <v>299</v>
      </c>
      <c r="G98" s="159" t="s">
        <v>338</v>
      </c>
      <c r="H98" s="159" t="s">
        <v>95</v>
      </c>
      <c r="I98" s="159" t="s">
        <v>589</v>
      </c>
      <c r="J98" s="159" t="s">
        <v>584</v>
      </c>
      <c r="K98" s="159" t="s">
        <v>590</v>
      </c>
      <c r="L98" s="159" t="s">
        <v>96</v>
      </c>
      <c r="M98" s="159" t="s">
        <v>339</v>
      </c>
      <c r="N98" s="160">
        <v>26918.428459999999</v>
      </c>
    </row>
    <row r="99" spans="2:14">
      <c r="B99" s="159" t="s">
        <v>297</v>
      </c>
      <c r="C99" s="159" t="s">
        <v>298</v>
      </c>
      <c r="D99" s="159" t="s">
        <v>308</v>
      </c>
      <c r="E99" s="159" t="s">
        <v>309</v>
      </c>
      <c r="F99" s="159" t="s">
        <v>299</v>
      </c>
      <c r="G99" s="159" t="s">
        <v>338</v>
      </c>
      <c r="H99" s="159" t="s">
        <v>95</v>
      </c>
      <c r="I99" s="159" t="s">
        <v>591</v>
      </c>
      <c r="J99" s="159" t="s">
        <v>584</v>
      </c>
      <c r="K99" s="159" t="s">
        <v>592</v>
      </c>
      <c r="L99" s="159" t="s">
        <v>96</v>
      </c>
      <c r="M99" s="159" t="s">
        <v>339</v>
      </c>
      <c r="N99" s="160">
        <v>3911.7274699999998</v>
      </c>
    </row>
    <row r="100" spans="2:14">
      <c r="B100" s="159" t="s">
        <v>297</v>
      </c>
      <c r="C100" s="159" t="s">
        <v>298</v>
      </c>
      <c r="D100" s="159" t="s">
        <v>308</v>
      </c>
      <c r="E100" s="159" t="s">
        <v>309</v>
      </c>
      <c r="F100" s="159" t="s">
        <v>299</v>
      </c>
      <c r="G100" s="159" t="s">
        <v>338</v>
      </c>
      <c r="H100" s="159" t="s">
        <v>95</v>
      </c>
      <c r="I100" s="159" t="s">
        <v>593</v>
      </c>
      <c r="J100" s="159" t="s">
        <v>584</v>
      </c>
      <c r="K100" s="159" t="s">
        <v>594</v>
      </c>
      <c r="L100" s="159" t="s">
        <v>96</v>
      </c>
      <c r="M100" s="159" t="s">
        <v>339</v>
      </c>
      <c r="N100" s="160">
        <v>8571.4962899999991</v>
      </c>
    </row>
    <row r="101" spans="2:14">
      <c r="B101" s="159" t="s">
        <v>297</v>
      </c>
      <c r="C101" s="159" t="s">
        <v>298</v>
      </c>
      <c r="D101" s="159" t="s">
        <v>308</v>
      </c>
      <c r="E101" s="159" t="s">
        <v>309</v>
      </c>
      <c r="F101" s="159" t="s">
        <v>299</v>
      </c>
      <c r="G101" s="159" t="s">
        <v>338</v>
      </c>
      <c r="H101" s="159" t="s">
        <v>95</v>
      </c>
      <c r="I101" s="159" t="s">
        <v>595</v>
      </c>
      <c r="J101" s="159" t="s">
        <v>303</v>
      </c>
      <c r="K101" s="159" t="s">
        <v>596</v>
      </c>
      <c r="L101" s="159" t="s">
        <v>96</v>
      </c>
      <c r="M101" s="159" t="s">
        <v>339</v>
      </c>
      <c r="N101" s="160">
        <v>2693.3673100000001</v>
      </c>
    </row>
    <row r="102" spans="2:14">
      <c r="B102" s="159" t="s">
        <v>297</v>
      </c>
      <c r="C102" s="159" t="s">
        <v>298</v>
      </c>
      <c r="D102" s="159" t="s">
        <v>308</v>
      </c>
      <c r="E102" s="159" t="s">
        <v>309</v>
      </c>
      <c r="F102" s="159" t="s">
        <v>299</v>
      </c>
      <c r="G102" s="159" t="s">
        <v>338</v>
      </c>
      <c r="H102" s="159" t="s">
        <v>95</v>
      </c>
      <c r="I102" s="159" t="s">
        <v>597</v>
      </c>
      <c r="J102" s="159" t="s">
        <v>596</v>
      </c>
      <c r="K102" s="159" t="s">
        <v>598</v>
      </c>
      <c r="L102" s="159" t="s">
        <v>96</v>
      </c>
      <c r="M102" s="159" t="s">
        <v>339</v>
      </c>
      <c r="N102" s="160">
        <v>2693.3673100000001</v>
      </c>
    </row>
    <row r="103" spans="2:14">
      <c r="B103" s="159" t="s">
        <v>297</v>
      </c>
      <c r="C103" s="159" t="s">
        <v>298</v>
      </c>
      <c r="D103" s="159" t="s">
        <v>308</v>
      </c>
      <c r="E103" s="159" t="s">
        <v>309</v>
      </c>
      <c r="F103" s="159" t="s">
        <v>299</v>
      </c>
      <c r="G103" s="159" t="s">
        <v>338</v>
      </c>
      <c r="H103" s="159" t="s">
        <v>95</v>
      </c>
      <c r="I103" s="159" t="s">
        <v>599</v>
      </c>
      <c r="J103" s="159" t="s">
        <v>596</v>
      </c>
      <c r="K103" s="159" t="s">
        <v>600</v>
      </c>
      <c r="L103" s="159" t="s">
        <v>482</v>
      </c>
      <c r="M103" s="159" t="s">
        <v>339</v>
      </c>
      <c r="N103" s="160">
        <v>0</v>
      </c>
    </row>
    <row r="104" spans="2:14">
      <c r="B104" s="159" t="s">
        <v>297</v>
      </c>
      <c r="C104" s="159" t="s">
        <v>298</v>
      </c>
      <c r="D104" s="159" t="s">
        <v>308</v>
      </c>
      <c r="E104" s="159" t="s">
        <v>309</v>
      </c>
      <c r="F104" s="159" t="s">
        <v>299</v>
      </c>
      <c r="G104" s="159" t="s">
        <v>338</v>
      </c>
      <c r="H104" s="159" t="s">
        <v>95</v>
      </c>
      <c r="I104" s="159" t="s">
        <v>601</v>
      </c>
      <c r="J104" s="159" t="s">
        <v>596</v>
      </c>
      <c r="K104" s="159" t="s">
        <v>602</v>
      </c>
      <c r="L104" s="159" t="s">
        <v>482</v>
      </c>
      <c r="M104" s="159" t="s">
        <v>339</v>
      </c>
      <c r="N104" s="160">
        <v>0</v>
      </c>
    </row>
    <row r="105" spans="2:14">
      <c r="B105" s="159" t="s">
        <v>297</v>
      </c>
      <c r="C105" s="159" t="s">
        <v>298</v>
      </c>
      <c r="D105" s="159" t="s">
        <v>308</v>
      </c>
      <c r="E105" s="159" t="s">
        <v>309</v>
      </c>
      <c r="F105" s="159" t="s">
        <v>299</v>
      </c>
      <c r="G105" s="159" t="s">
        <v>338</v>
      </c>
      <c r="H105" s="159" t="s">
        <v>95</v>
      </c>
      <c r="I105" s="159" t="s">
        <v>603</v>
      </c>
      <c r="J105" s="159" t="s">
        <v>596</v>
      </c>
      <c r="K105" s="159" t="s">
        <v>604</v>
      </c>
      <c r="L105" s="159" t="s">
        <v>482</v>
      </c>
      <c r="M105" s="159" t="s">
        <v>339</v>
      </c>
      <c r="N105" s="160">
        <v>0</v>
      </c>
    </row>
    <row r="106" spans="2:14">
      <c r="B106" s="159" t="s">
        <v>297</v>
      </c>
      <c r="C106" s="159" t="s">
        <v>298</v>
      </c>
      <c r="D106" s="159" t="s">
        <v>308</v>
      </c>
      <c r="E106" s="159" t="s">
        <v>309</v>
      </c>
      <c r="F106" s="159" t="s">
        <v>299</v>
      </c>
      <c r="G106" s="159" t="s">
        <v>338</v>
      </c>
      <c r="H106" s="159" t="s">
        <v>95</v>
      </c>
      <c r="I106" s="159" t="s">
        <v>605</v>
      </c>
      <c r="J106" s="159" t="s">
        <v>303</v>
      </c>
      <c r="K106" s="159" t="s">
        <v>606</v>
      </c>
      <c r="L106" s="159" t="s">
        <v>96</v>
      </c>
      <c r="M106" s="159" t="s">
        <v>339</v>
      </c>
      <c r="N106" s="160">
        <v>161093.21210999999</v>
      </c>
    </row>
    <row r="107" spans="2:14">
      <c r="B107" s="159" t="s">
        <v>297</v>
      </c>
      <c r="C107" s="159" t="s">
        <v>298</v>
      </c>
      <c r="D107" s="159" t="s">
        <v>308</v>
      </c>
      <c r="E107" s="159" t="s">
        <v>309</v>
      </c>
      <c r="F107" s="159" t="s">
        <v>299</v>
      </c>
      <c r="G107" s="159" t="s">
        <v>338</v>
      </c>
      <c r="H107" s="159" t="s">
        <v>95</v>
      </c>
      <c r="I107" s="159" t="s">
        <v>607</v>
      </c>
      <c r="J107" s="159" t="s">
        <v>606</v>
      </c>
      <c r="K107" s="159" t="s">
        <v>608</v>
      </c>
      <c r="L107" s="159" t="s">
        <v>96</v>
      </c>
      <c r="M107" s="159" t="s">
        <v>339</v>
      </c>
      <c r="N107" s="160">
        <v>131862.65048000001</v>
      </c>
    </row>
    <row r="108" spans="2:14">
      <c r="B108" s="159" t="s">
        <v>297</v>
      </c>
      <c r="C108" s="159" t="s">
        <v>298</v>
      </c>
      <c r="D108" s="159" t="s">
        <v>308</v>
      </c>
      <c r="E108" s="159" t="s">
        <v>309</v>
      </c>
      <c r="F108" s="159" t="s">
        <v>299</v>
      </c>
      <c r="G108" s="159" t="s">
        <v>338</v>
      </c>
      <c r="H108" s="159" t="s">
        <v>95</v>
      </c>
      <c r="I108" s="159" t="s">
        <v>609</v>
      </c>
      <c r="J108" s="159" t="s">
        <v>606</v>
      </c>
      <c r="K108" s="159" t="s">
        <v>610</v>
      </c>
      <c r="L108" s="159" t="s">
        <v>96</v>
      </c>
      <c r="M108" s="159" t="s">
        <v>339</v>
      </c>
      <c r="N108" s="160">
        <v>29230.56163</v>
      </c>
    </row>
    <row r="109" spans="2:14">
      <c r="B109" s="159" t="s">
        <v>297</v>
      </c>
      <c r="C109" s="159" t="s">
        <v>298</v>
      </c>
      <c r="D109" s="159" t="s">
        <v>308</v>
      </c>
      <c r="E109" s="159" t="s">
        <v>309</v>
      </c>
      <c r="F109" s="159" t="s">
        <v>299</v>
      </c>
      <c r="G109" s="159" t="s">
        <v>338</v>
      </c>
      <c r="H109" s="159" t="s">
        <v>95</v>
      </c>
      <c r="I109" s="159" t="s">
        <v>611</v>
      </c>
      <c r="J109" s="159" t="s">
        <v>303</v>
      </c>
      <c r="K109" s="159" t="s">
        <v>612</v>
      </c>
      <c r="L109" s="159" t="s">
        <v>21</v>
      </c>
      <c r="M109" s="159" t="s">
        <v>339</v>
      </c>
      <c r="N109" s="160">
        <v>0</v>
      </c>
    </row>
    <row r="110" spans="2:14">
      <c r="B110" s="159" t="s">
        <v>297</v>
      </c>
      <c r="C110" s="159" t="s">
        <v>298</v>
      </c>
      <c r="D110" s="159" t="s">
        <v>308</v>
      </c>
      <c r="E110" s="159" t="s">
        <v>309</v>
      </c>
      <c r="F110" s="159" t="s">
        <v>299</v>
      </c>
      <c r="G110" s="159" t="s">
        <v>338</v>
      </c>
      <c r="H110" s="159" t="s">
        <v>95</v>
      </c>
      <c r="I110" s="159" t="s">
        <v>613</v>
      </c>
      <c r="J110" s="159" t="s">
        <v>303</v>
      </c>
      <c r="K110" s="159" t="s">
        <v>614</v>
      </c>
      <c r="L110" s="159" t="s">
        <v>96</v>
      </c>
      <c r="M110" s="159" t="s">
        <v>339</v>
      </c>
      <c r="N110" s="160">
        <v>989.2903</v>
      </c>
    </row>
    <row r="111" spans="2:14">
      <c r="B111" s="159" t="s">
        <v>297</v>
      </c>
      <c r="C111" s="159" t="s">
        <v>298</v>
      </c>
      <c r="D111" s="159" t="s">
        <v>308</v>
      </c>
      <c r="E111" s="159" t="s">
        <v>309</v>
      </c>
      <c r="F111" s="159" t="s">
        <v>299</v>
      </c>
      <c r="G111" s="159" t="s">
        <v>338</v>
      </c>
      <c r="H111" s="159" t="s">
        <v>95</v>
      </c>
      <c r="I111" s="159" t="s">
        <v>615</v>
      </c>
      <c r="J111" s="159" t="s">
        <v>614</v>
      </c>
      <c r="K111" s="159" t="s">
        <v>616</v>
      </c>
      <c r="L111" s="159" t="s">
        <v>96</v>
      </c>
      <c r="M111" s="159" t="s">
        <v>339</v>
      </c>
      <c r="N111" s="160">
        <v>851.44209999999998</v>
      </c>
    </row>
    <row r="112" spans="2:14">
      <c r="B112" s="159" t="s">
        <v>297</v>
      </c>
      <c r="C112" s="159" t="s">
        <v>298</v>
      </c>
      <c r="D112" s="159" t="s">
        <v>308</v>
      </c>
      <c r="E112" s="159" t="s">
        <v>309</v>
      </c>
      <c r="F112" s="159" t="s">
        <v>299</v>
      </c>
      <c r="G112" s="159" t="s">
        <v>338</v>
      </c>
      <c r="H112" s="159" t="s">
        <v>95</v>
      </c>
      <c r="I112" s="159" t="s">
        <v>617</v>
      </c>
      <c r="J112" s="159" t="s">
        <v>614</v>
      </c>
      <c r="K112" s="159" t="s">
        <v>618</v>
      </c>
      <c r="L112" s="159" t="s">
        <v>96</v>
      </c>
      <c r="M112" s="159" t="s">
        <v>339</v>
      </c>
      <c r="N112" s="160">
        <v>0.73540000000000005</v>
      </c>
    </row>
    <row r="113" spans="2:14">
      <c r="B113" s="159" t="s">
        <v>297</v>
      </c>
      <c r="C113" s="159" t="s">
        <v>298</v>
      </c>
      <c r="D113" s="159" t="s">
        <v>308</v>
      </c>
      <c r="E113" s="159" t="s">
        <v>309</v>
      </c>
      <c r="F113" s="159" t="s">
        <v>299</v>
      </c>
      <c r="G113" s="159" t="s">
        <v>338</v>
      </c>
      <c r="H113" s="159" t="s">
        <v>95</v>
      </c>
      <c r="I113" s="159" t="s">
        <v>619</v>
      </c>
      <c r="J113" s="159" t="s">
        <v>614</v>
      </c>
      <c r="K113" s="159" t="s">
        <v>620</v>
      </c>
      <c r="L113" s="159" t="s">
        <v>96</v>
      </c>
      <c r="M113" s="159" t="s">
        <v>339</v>
      </c>
      <c r="N113" s="160">
        <v>5.5872999999999999</v>
      </c>
    </row>
    <row r="114" spans="2:14">
      <c r="B114" s="159" t="s">
        <v>297</v>
      </c>
      <c r="C114" s="159" t="s">
        <v>298</v>
      </c>
      <c r="D114" s="159" t="s">
        <v>308</v>
      </c>
      <c r="E114" s="159" t="s">
        <v>309</v>
      </c>
      <c r="F114" s="159" t="s">
        <v>299</v>
      </c>
      <c r="G114" s="159" t="s">
        <v>338</v>
      </c>
      <c r="H114" s="159" t="s">
        <v>95</v>
      </c>
      <c r="I114" s="159" t="s">
        <v>621</v>
      </c>
      <c r="J114" s="159" t="s">
        <v>614</v>
      </c>
      <c r="K114" s="159" t="s">
        <v>622</v>
      </c>
      <c r="L114" s="159" t="s">
        <v>96</v>
      </c>
      <c r="M114" s="159" t="s">
        <v>339</v>
      </c>
      <c r="N114" s="160">
        <v>2.54915</v>
      </c>
    </row>
    <row r="115" spans="2:14">
      <c r="B115" s="159" t="s">
        <v>297</v>
      </c>
      <c r="C115" s="159" t="s">
        <v>298</v>
      </c>
      <c r="D115" s="159" t="s">
        <v>308</v>
      </c>
      <c r="E115" s="159" t="s">
        <v>309</v>
      </c>
      <c r="F115" s="159" t="s">
        <v>299</v>
      </c>
      <c r="G115" s="159" t="s">
        <v>338</v>
      </c>
      <c r="H115" s="159" t="s">
        <v>95</v>
      </c>
      <c r="I115" s="159" t="s">
        <v>623</v>
      </c>
      <c r="J115" s="159" t="s">
        <v>614</v>
      </c>
      <c r="K115" s="159" t="s">
        <v>624</v>
      </c>
      <c r="L115" s="159" t="s">
        <v>96</v>
      </c>
      <c r="M115" s="159" t="s">
        <v>339</v>
      </c>
      <c r="N115" s="160">
        <v>128.97633999999999</v>
      </c>
    </row>
    <row r="116" spans="2:14">
      <c r="B116" s="159" t="s">
        <v>297</v>
      </c>
      <c r="C116" s="159" t="s">
        <v>298</v>
      </c>
      <c r="D116" s="159" t="s">
        <v>308</v>
      </c>
      <c r="E116" s="159" t="s">
        <v>309</v>
      </c>
      <c r="F116" s="159" t="s">
        <v>299</v>
      </c>
      <c r="G116" s="159" t="s">
        <v>338</v>
      </c>
      <c r="H116" s="159" t="s">
        <v>95</v>
      </c>
      <c r="I116" s="159" t="s">
        <v>625</v>
      </c>
      <c r="J116" s="159" t="s">
        <v>303</v>
      </c>
      <c r="K116" s="159" t="s">
        <v>626</v>
      </c>
      <c r="L116" s="159" t="s">
        <v>96</v>
      </c>
      <c r="M116" s="159" t="s">
        <v>339</v>
      </c>
      <c r="N116" s="160">
        <v>5975.4648999999999</v>
      </c>
    </row>
    <row r="117" spans="2:14">
      <c r="B117" s="159" t="s">
        <v>297</v>
      </c>
      <c r="C117" s="159" t="s">
        <v>298</v>
      </c>
      <c r="D117" s="159" t="s">
        <v>308</v>
      </c>
      <c r="E117" s="159" t="s">
        <v>309</v>
      </c>
      <c r="F117" s="159" t="s">
        <v>299</v>
      </c>
      <c r="G117" s="159" t="s">
        <v>338</v>
      </c>
      <c r="H117" s="159" t="s">
        <v>95</v>
      </c>
      <c r="I117" s="159" t="s">
        <v>627</v>
      </c>
      <c r="J117" s="159" t="s">
        <v>303</v>
      </c>
      <c r="K117" s="159" t="s">
        <v>628</v>
      </c>
      <c r="L117" s="159" t="s">
        <v>96</v>
      </c>
      <c r="M117" s="159" t="s">
        <v>339</v>
      </c>
      <c r="N117" s="160">
        <v>3366.71099</v>
      </c>
    </row>
    <row r="118" spans="2:14">
      <c r="B118" s="159" t="s">
        <v>297</v>
      </c>
      <c r="C118" s="159" t="s">
        <v>298</v>
      </c>
      <c r="D118" s="159" t="s">
        <v>308</v>
      </c>
      <c r="E118" s="159" t="s">
        <v>309</v>
      </c>
      <c r="F118" s="159" t="s">
        <v>299</v>
      </c>
      <c r="G118" s="159" t="s">
        <v>338</v>
      </c>
      <c r="H118" s="159" t="s">
        <v>95</v>
      </c>
      <c r="I118" s="159" t="s">
        <v>629</v>
      </c>
      <c r="J118" s="159" t="s">
        <v>303</v>
      </c>
      <c r="K118" s="159" t="s">
        <v>630</v>
      </c>
      <c r="L118" s="159" t="s">
        <v>96</v>
      </c>
      <c r="M118" s="159" t="s">
        <v>339</v>
      </c>
      <c r="N118" s="160">
        <v>23.342099999999999</v>
      </c>
    </row>
    <row r="119" spans="2:14">
      <c r="B119" s="159" t="s">
        <v>297</v>
      </c>
      <c r="C119" s="159" t="s">
        <v>298</v>
      </c>
      <c r="D119" s="159" t="s">
        <v>308</v>
      </c>
      <c r="E119" s="159" t="s">
        <v>309</v>
      </c>
      <c r="F119" s="159" t="s">
        <v>299</v>
      </c>
      <c r="G119" s="159" t="s">
        <v>338</v>
      </c>
      <c r="H119" s="159" t="s">
        <v>95</v>
      </c>
      <c r="I119" s="159" t="s">
        <v>631</v>
      </c>
      <c r="J119" s="159" t="s">
        <v>303</v>
      </c>
      <c r="K119" s="159" t="s">
        <v>632</v>
      </c>
      <c r="L119" s="159" t="s">
        <v>96</v>
      </c>
      <c r="M119" s="159" t="s">
        <v>339</v>
      </c>
      <c r="N119" s="160">
        <v>341.94997999999998</v>
      </c>
    </row>
    <row r="120" spans="2:14">
      <c r="B120" s="159" t="s">
        <v>297</v>
      </c>
      <c r="C120" s="159" t="s">
        <v>298</v>
      </c>
      <c r="D120" s="159" t="s">
        <v>308</v>
      </c>
      <c r="E120" s="159" t="s">
        <v>309</v>
      </c>
      <c r="F120" s="159" t="s">
        <v>299</v>
      </c>
      <c r="G120" s="159" t="s">
        <v>338</v>
      </c>
      <c r="H120" s="159" t="s">
        <v>95</v>
      </c>
      <c r="I120" s="159" t="s">
        <v>633</v>
      </c>
      <c r="J120" s="159" t="s">
        <v>302</v>
      </c>
      <c r="K120" s="159" t="s">
        <v>411</v>
      </c>
      <c r="L120" s="159" t="s">
        <v>96</v>
      </c>
      <c r="M120" s="159" t="s">
        <v>339</v>
      </c>
      <c r="N120" s="160">
        <v>-316471.88412</v>
      </c>
    </row>
    <row r="121" spans="2:14">
      <c r="B121" s="159" t="s">
        <v>297</v>
      </c>
      <c r="C121" s="159" t="s">
        <v>298</v>
      </c>
      <c r="D121" s="159" t="s">
        <v>308</v>
      </c>
      <c r="E121" s="159" t="s">
        <v>309</v>
      </c>
      <c r="F121" s="159" t="s">
        <v>299</v>
      </c>
      <c r="G121" s="159" t="s">
        <v>338</v>
      </c>
      <c r="H121" s="159" t="s">
        <v>95</v>
      </c>
      <c r="I121" s="159" t="s">
        <v>634</v>
      </c>
      <c r="J121" s="159" t="s">
        <v>411</v>
      </c>
      <c r="K121" s="159" t="s">
        <v>635</v>
      </c>
      <c r="L121" s="159" t="s">
        <v>96</v>
      </c>
      <c r="M121" s="159" t="s">
        <v>339</v>
      </c>
      <c r="N121" s="160">
        <v>-416778.32206999999</v>
      </c>
    </row>
    <row r="122" spans="2:14">
      <c r="B122" s="159" t="s">
        <v>297</v>
      </c>
      <c r="C122" s="159" t="s">
        <v>298</v>
      </c>
      <c r="D122" s="159" t="s">
        <v>308</v>
      </c>
      <c r="E122" s="159" t="s">
        <v>309</v>
      </c>
      <c r="F122" s="159" t="s">
        <v>299</v>
      </c>
      <c r="G122" s="159" t="s">
        <v>338</v>
      </c>
      <c r="H122" s="159" t="s">
        <v>95</v>
      </c>
      <c r="I122" s="159" t="s">
        <v>636</v>
      </c>
      <c r="J122" s="159" t="s">
        <v>635</v>
      </c>
      <c r="K122" s="159" t="s">
        <v>637</v>
      </c>
      <c r="L122" s="159" t="s">
        <v>96</v>
      </c>
      <c r="M122" s="159" t="s">
        <v>339</v>
      </c>
      <c r="N122" s="160">
        <v>5152.60941</v>
      </c>
    </row>
    <row r="123" spans="2:14">
      <c r="B123" s="159" t="s">
        <v>297</v>
      </c>
      <c r="C123" s="159" t="s">
        <v>298</v>
      </c>
      <c r="D123" s="159" t="s">
        <v>308</v>
      </c>
      <c r="E123" s="159" t="s">
        <v>309</v>
      </c>
      <c r="F123" s="159" t="s">
        <v>299</v>
      </c>
      <c r="G123" s="159" t="s">
        <v>338</v>
      </c>
      <c r="H123" s="159" t="s">
        <v>95</v>
      </c>
      <c r="I123" s="159" t="s">
        <v>638</v>
      </c>
      <c r="J123" s="159" t="s">
        <v>635</v>
      </c>
      <c r="K123" s="159" t="s">
        <v>639</v>
      </c>
      <c r="L123" s="159" t="s">
        <v>96</v>
      </c>
      <c r="M123" s="159" t="s">
        <v>339</v>
      </c>
      <c r="N123" s="160">
        <v>-364459.63929999998</v>
      </c>
    </row>
    <row r="124" spans="2:14">
      <c r="B124" s="159" t="s">
        <v>297</v>
      </c>
      <c r="C124" s="159" t="s">
        <v>298</v>
      </c>
      <c r="D124" s="159" t="s">
        <v>308</v>
      </c>
      <c r="E124" s="159" t="s">
        <v>309</v>
      </c>
      <c r="F124" s="159" t="s">
        <v>299</v>
      </c>
      <c r="G124" s="159" t="s">
        <v>338</v>
      </c>
      <c r="H124" s="159" t="s">
        <v>95</v>
      </c>
      <c r="I124" s="159" t="s">
        <v>640</v>
      </c>
      <c r="J124" s="159" t="s">
        <v>635</v>
      </c>
      <c r="K124" s="159" t="s">
        <v>641</v>
      </c>
      <c r="L124" s="159" t="s">
        <v>96</v>
      </c>
      <c r="M124" s="159" t="s">
        <v>339</v>
      </c>
      <c r="N124" s="160">
        <v>-57471.292179999997</v>
      </c>
    </row>
    <row r="125" spans="2:14">
      <c r="B125" s="159" t="s">
        <v>297</v>
      </c>
      <c r="C125" s="159" t="s">
        <v>298</v>
      </c>
      <c r="D125" s="159" t="s">
        <v>308</v>
      </c>
      <c r="E125" s="159" t="s">
        <v>309</v>
      </c>
      <c r="F125" s="159" t="s">
        <v>299</v>
      </c>
      <c r="G125" s="159" t="s">
        <v>338</v>
      </c>
      <c r="H125" s="159" t="s">
        <v>95</v>
      </c>
      <c r="I125" s="159" t="s">
        <v>642</v>
      </c>
      <c r="J125" s="159" t="s">
        <v>411</v>
      </c>
      <c r="K125" s="159" t="s">
        <v>643</v>
      </c>
      <c r="L125" s="159" t="s">
        <v>96</v>
      </c>
      <c r="M125" s="159" t="s">
        <v>339</v>
      </c>
      <c r="N125" s="160">
        <v>70157.25808</v>
      </c>
    </row>
    <row r="126" spans="2:14">
      <c r="B126" s="159" t="s">
        <v>297</v>
      </c>
      <c r="C126" s="159" t="s">
        <v>298</v>
      </c>
      <c r="D126" s="159" t="s">
        <v>308</v>
      </c>
      <c r="E126" s="159" t="s">
        <v>309</v>
      </c>
      <c r="F126" s="159" t="s">
        <v>299</v>
      </c>
      <c r="G126" s="159" t="s">
        <v>338</v>
      </c>
      <c r="H126" s="159" t="s">
        <v>95</v>
      </c>
      <c r="I126" s="159" t="s">
        <v>644</v>
      </c>
      <c r="J126" s="159" t="s">
        <v>643</v>
      </c>
      <c r="K126" s="159" t="s">
        <v>645</v>
      </c>
      <c r="L126" s="159" t="s">
        <v>96</v>
      </c>
      <c r="M126" s="159" t="s">
        <v>339</v>
      </c>
      <c r="N126" s="160">
        <v>2454.1196300000001</v>
      </c>
    </row>
    <row r="127" spans="2:14">
      <c r="B127" s="159" t="s">
        <v>297</v>
      </c>
      <c r="C127" s="159" t="s">
        <v>298</v>
      </c>
      <c r="D127" s="159" t="s">
        <v>308</v>
      </c>
      <c r="E127" s="159" t="s">
        <v>309</v>
      </c>
      <c r="F127" s="159" t="s">
        <v>299</v>
      </c>
      <c r="G127" s="159" t="s">
        <v>338</v>
      </c>
      <c r="H127" s="159" t="s">
        <v>95</v>
      </c>
      <c r="I127" s="159" t="s">
        <v>646</v>
      </c>
      <c r="J127" s="159" t="s">
        <v>643</v>
      </c>
      <c r="K127" s="159" t="s">
        <v>647</v>
      </c>
      <c r="L127" s="159" t="s">
        <v>96</v>
      </c>
      <c r="M127" s="159" t="s">
        <v>339</v>
      </c>
      <c r="N127" s="160">
        <v>19199.281640000001</v>
      </c>
    </row>
    <row r="128" spans="2:14">
      <c r="B128" s="159" t="s">
        <v>297</v>
      </c>
      <c r="C128" s="159" t="s">
        <v>298</v>
      </c>
      <c r="D128" s="159" t="s">
        <v>308</v>
      </c>
      <c r="E128" s="159" t="s">
        <v>309</v>
      </c>
      <c r="F128" s="159" t="s">
        <v>299</v>
      </c>
      <c r="G128" s="159" t="s">
        <v>338</v>
      </c>
      <c r="H128" s="159" t="s">
        <v>95</v>
      </c>
      <c r="I128" s="159" t="s">
        <v>648</v>
      </c>
      <c r="J128" s="159" t="s">
        <v>643</v>
      </c>
      <c r="K128" s="159" t="s">
        <v>649</v>
      </c>
      <c r="L128" s="159" t="s">
        <v>96</v>
      </c>
      <c r="M128" s="159" t="s">
        <v>339</v>
      </c>
      <c r="N128" s="160">
        <v>48503.856809999997</v>
      </c>
    </row>
    <row r="129" spans="2:14">
      <c r="B129" s="159" t="s">
        <v>297</v>
      </c>
      <c r="C129" s="159" t="s">
        <v>298</v>
      </c>
      <c r="D129" s="159" t="s">
        <v>308</v>
      </c>
      <c r="E129" s="159" t="s">
        <v>309</v>
      </c>
      <c r="F129" s="159" t="s">
        <v>299</v>
      </c>
      <c r="G129" s="159" t="s">
        <v>338</v>
      </c>
      <c r="H129" s="159" t="s">
        <v>95</v>
      </c>
      <c r="I129" s="159" t="s">
        <v>650</v>
      </c>
      <c r="J129" s="159" t="s">
        <v>411</v>
      </c>
      <c r="K129" s="159" t="s">
        <v>651</v>
      </c>
      <c r="L129" s="159" t="s">
        <v>96</v>
      </c>
      <c r="M129" s="159" t="s">
        <v>339</v>
      </c>
      <c r="N129" s="160">
        <v>13311.88013</v>
      </c>
    </row>
    <row r="130" spans="2:14">
      <c r="B130" s="159" t="s">
        <v>297</v>
      </c>
      <c r="C130" s="159" t="s">
        <v>298</v>
      </c>
      <c r="D130" s="159" t="s">
        <v>308</v>
      </c>
      <c r="E130" s="159" t="s">
        <v>309</v>
      </c>
      <c r="F130" s="159" t="s">
        <v>299</v>
      </c>
      <c r="G130" s="159" t="s">
        <v>338</v>
      </c>
      <c r="H130" s="159" t="s">
        <v>95</v>
      </c>
      <c r="I130" s="159" t="s">
        <v>652</v>
      </c>
      <c r="J130" s="159" t="s">
        <v>651</v>
      </c>
      <c r="K130" s="159" t="s">
        <v>653</v>
      </c>
      <c r="L130" s="159" t="s">
        <v>96</v>
      </c>
      <c r="M130" s="159" t="s">
        <v>339</v>
      </c>
      <c r="N130" s="160">
        <v>1549.9278400000001</v>
      </c>
    </row>
    <row r="131" spans="2:14">
      <c r="B131" s="159" t="s">
        <v>297</v>
      </c>
      <c r="C131" s="159" t="s">
        <v>298</v>
      </c>
      <c r="D131" s="159" t="s">
        <v>308</v>
      </c>
      <c r="E131" s="159" t="s">
        <v>309</v>
      </c>
      <c r="F131" s="159" t="s">
        <v>299</v>
      </c>
      <c r="G131" s="159" t="s">
        <v>338</v>
      </c>
      <c r="H131" s="159" t="s">
        <v>95</v>
      </c>
      <c r="I131" s="159" t="s">
        <v>654</v>
      </c>
      <c r="J131" s="159" t="s">
        <v>651</v>
      </c>
      <c r="K131" s="159" t="s">
        <v>655</v>
      </c>
      <c r="L131" s="159" t="s">
        <v>96</v>
      </c>
      <c r="M131" s="159" t="s">
        <v>339</v>
      </c>
      <c r="N131" s="160">
        <v>33748.814489999997</v>
      </c>
    </row>
    <row r="132" spans="2:14">
      <c r="B132" s="159" t="s">
        <v>297</v>
      </c>
      <c r="C132" s="159" t="s">
        <v>298</v>
      </c>
      <c r="D132" s="159" t="s">
        <v>308</v>
      </c>
      <c r="E132" s="159" t="s">
        <v>309</v>
      </c>
      <c r="F132" s="159" t="s">
        <v>299</v>
      </c>
      <c r="G132" s="159" t="s">
        <v>338</v>
      </c>
      <c r="H132" s="159" t="s">
        <v>95</v>
      </c>
      <c r="I132" s="159" t="s">
        <v>656</v>
      </c>
      <c r="J132" s="159" t="s">
        <v>651</v>
      </c>
      <c r="K132" s="159" t="s">
        <v>657</v>
      </c>
      <c r="L132" s="159" t="s">
        <v>96</v>
      </c>
      <c r="M132" s="159" t="s">
        <v>339</v>
      </c>
      <c r="N132" s="160">
        <v>-21986.86219</v>
      </c>
    </row>
    <row r="133" spans="2:14">
      <c r="B133" s="159" t="s">
        <v>297</v>
      </c>
      <c r="C133" s="159" t="s">
        <v>298</v>
      </c>
      <c r="D133" s="159" t="s">
        <v>308</v>
      </c>
      <c r="E133" s="159" t="s">
        <v>309</v>
      </c>
      <c r="F133" s="159" t="s">
        <v>299</v>
      </c>
      <c r="G133" s="159" t="s">
        <v>338</v>
      </c>
      <c r="H133" s="159" t="s">
        <v>95</v>
      </c>
      <c r="I133" s="159" t="s">
        <v>658</v>
      </c>
      <c r="J133" s="159" t="s">
        <v>411</v>
      </c>
      <c r="K133" s="159" t="s">
        <v>659</v>
      </c>
      <c r="L133" s="159" t="s">
        <v>96</v>
      </c>
      <c r="M133" s="159" t="s">
        <v>339</v>
      </c>
      <c r="N133" s="160">
        <v>20354.043099999999</v>
      </c>
    </row>
    <row r="134" spans="2:14">
      <c r="B134" s="159" t="s">
        <v>297</v>
      </c>
      <c r="C134" s="159" t="s">
        <v>298</v>
      </c>
      <c r="D134" s="159" t="s">
        <v>308</v>
      </c>
      <c r="E134" s="159" t="s">
        <v>309</v>
      </c>
      <c r="F134" s="159" t="s">
        <v>299</v>
      </c>
      <c r="G134" s="159" t="s">
        <v>338</v>
      </c>
      <c r="H134" s="159" t="s">
        <v>95</v>
      </c>
      <c r="I134" s="159" t="s">
        <v>660</v>
      </c>
      <c r="J134" s="159" t="s">
        <v>659</v>
      </c>
      <c r="K134" s="159" t="s">
        <v>661</v>
      </c>
      <c r="L134" s="159" t="s">
        <v>96</v>
      </c>
      <c r="M134" s="159" t="s">
        <v>339</v>
      </c>
      <c r="N134" s="160">
        <v>1722.4160199999999</v>
      </c>
    </row>
    <row r="135" spans="2:14">
      <c r="B135" s="159" t="s">
        <v>297</v>
      </c>
      <c r="C135" s="159" t="s">
        <v>298</v>
      </c>
      <c r="D135" s="159" t="s">
        <v>308</v>
      </c>
      <c r="E135" s="159" t="s">
        <v>309</v>
      </c>
      <c r="F135" s="159" t="s">
        <v>299</v>
      </c>
      <c r="G135" s="159" t="s">
        <v>338</v>
      </c>
      <c r="H135" s="159" t="s">
        <v>95</v>
      </c>
      <c r="I135" s="159" t="s">
        <v>662</v>
      </c>
      <c r="J135" s="159" t="s">
        <v>659</v>
      </c>
      <c r="K135" s="159" t="s">
        <v>663</v>
      </c>
      <c r="L135" s="159" t="s">
        <v>96</v>
      </c>
      <c r="M135" s="159" t="s">
        <v>339</v>
      </c>
      <c r="N135" s="160">
        <v>15017.643330000001</v>
      </c>
    </row>
    <row r="136" spans="2:14">
      <c r="B136" s="159" t="s">
        <v>297</v>
      </c>
      <c r="C136" s="159" t="s">
        <v>298</v>
      </c>
      <c r="D136" s="159" t="s">
        <v>308</v>
      </c>
      <c r="E136" s="159" t="s">
        <v>309</v>
      </c>
      <c r="F136" s="159" t="s">
        <v>299</v>
      </c>
      <c r="G136" s="159" t="s">
        <v>338</v>
      </c>
      <c r="H136" s="159" t="s">
        <v>95</v>
      </c>
      <c r="I136" s="159" t="s">
        <v>664</v>
      </c>
      <c r="J136" s="159" t="s">
        <v>659</v>
      </c>
      <c r="K136" s="159" t="s">
        <v>665</v>
      </c>
      <c r="L136" s="159" t="s">
        <v>96</v>
      </c>
      <c r="M136" s="159" t="s">
        <v>339</v>
      </c>
      <c r="N136" s="160">
        <v>3613.9837600000001</v>
      </c>
    </row>
    <row r="137" spans="2:14">
      <c r="B137" s="159" t="s">
        <v>297</v>
      </c>
      <c r="C137" s="159" t="s">
        <v>298</v>
      </c>
      <c r="D137" s="159" t="s">
        <v>308</v>
      </c>
      <c r="E137" s="159" t="s">
        <v>309</v>
      </c>
      <c r="F137" s="159" t="s">
        <v>299</v>
      </c>
      <c r="G137" s="159" t="s">
        <v>338</v>
      </c>
      <c r="H137" s="159" t="s">
        <v>95</v>
      </c>
      <c r="I137" s="159" t="s">
        <v>666</v>
      </c>
      <c r="J137" s="159" t="s">
        <v>411</v>
      </c>
      <c r="K137" s="159" t="s">
        <v>667</v>
      </c>
      <c r="L137" s="159" t="s">
        <v>96</v>
      </c>
      <c r="M137" s="159" t="s">
        <v>339</v>
      </c>
      <c r="N137" s="160">
        <v>46323.489029999997</v>
      </c>
    </row>
    <row r="138" spans="2:14">
      <c r="B138" s="159" t="s">
        <v>297</v>
      </c>
      <c r="C138" s="159" t="s">
        <v>298</v>
      </c>
      <c r="D138" s="159" t="s">
        <v>308</v>
      </c>
      <c r="E138" s="159" t="s">
        <v>309</v>
      </c>
      <c r="F138" s="159" t="s">
        <v>299</v>
      </c>
      <c r="G138" s="159" t="s">
        <v>338</v>
      </c>
      <c r="H138" s="159" t="s">
        <v>95</v>
      </c>
      <c r="I138" s="159" t="s">
        <v>668</v>
      </c>
      <c r="J138" s="159" t="s">
        <v>667</v>
      </c>
      <c r="K138" s="159" t="s">
        <v>669</v>
      </c>
      <c r="L138" s="159" t="s">
        <v>96</v>
      </c>
      <c r="M138" s="159" t="s">
        <v>339</v>
      </c>
      <c r="N138" s="160">
        <v>81.969949999999997</v>
      </c>
    </row>
    <row r="139" spans="2:14">
      <c r="B139" s="159" t="s">
        <v>297</v>
      </c>
      <c r="C139" s="159" t="s">
        <v>298</v>
      </c>
      <c r="D139" s="159" t="s">
        <v>308</v>
      </c>
      <c r="E139" s="159" t="s">
        <v>309</v>
      </c>
      <c r="F139" s="159" t="s">
        <v>299</v>
      </c>
      <c r="G139" s="159" t="s">
        <v>338</v>
      </c>
      <c r="H139" s="159" t="s">
        <v>95</v>
      </c>
      <c r="I139" s="159" t="s">
        <v>670</v>
      </c>
      <c r="J139" s="159" t="s">
        <v>667</v>
      </c>
      <c r="K139" s="159" t="s">
        <v>671</v>
      </c>
      <c r="L139" s="159" t="s">
        <v>96</v>
      </c>
      <c r="M139" s="159" t="s">
        <v>339</v>
      </c>
      <c r="N139" s="160">
        <v>3460.46153</v>
      </c>
    </row>
    <row r="140" spans="2:14">
      <c r="B140" s="159" t="s">
        <v>297</v>
      </c>
      <c r="C140" s="159" t="s">
        <v>298</v>
      </c>
      <c r="D140" s="159" t="s">
        <v>308</v>
      </c>
      <c r="E140" s="159" t="s">
        <v>309</v>
      </c>
      <c r="F140" s="159" t="s">
        <v>299</v>
      </c>
      <c r="G140" s="159" t="s">
        <v>338</v>
      </c>
      <c r="H140" s="159" t="s">
        <v>95</v>
      </c>
      <c r="I140" s="159" t="s">
        <v>672</v>
      </c>
      <c r="J140" s="159" t="s">
        <v>667</v>
      </c>
      <c r="K140" s="159" t="s">
        <v>673</v>
      </c>
      <c r="L140" s="159" t="s">
        <v>96</v>
      </c>
      <c r="M140" s="159" t="s">
        <v>339</v>
      </c>
      <c r="N140" s="160">
        <v>42781.057560000001</v>
      </c>
    </row>
    <row r="141" spans="2:14">
      <c r="B141" s="159" t="s">
        <v>297</v>
      </c>
      <c r="C141" s="159" t="s">
        <v>298</v>
      </c>
      <c r="D141" s="159" t="s">
        <v>308</v>
      </c>
      <c r="E141" s="159" t="s">
        <v>309</v>
      </c>
      <c r="F141" s="159" t="s">
        <v>299</v>
      </c>
      <c r="G141" s="159" t="s">
        <v>338</v>
      </c>
      <c r="H141" s="159" t="s">
        <v>95</v>
      </c>
      <c r="I141" s="159" t="s">
        <v>674</v>
      </c>
      <c r="J141" s="159" t="s">
        <v>411</v>
      </c>
      <c r="K141" s="159" t="s">
        <v>675</v>
      </c>
      <c r="L141" s="159" t="s">
        <v>96</v>
      </c>
      <c r="M141" s="159" t="s">
        <v>339</v>
      </c>
      <c r="N141" s="160">
        <v>1778.5379</v>
      </c>
    </row>
    <row r="142" spans="2:14">
      <c r="B142" s="159" t="s">
        <v>297</v>
      </c>
      <c r="C142" s="159" t="s">
        <v>298</v>
      </c>
      <c r="D142" s="159" t="s">
        <v>308</v>
      </c>
      <c r="E142" s="159" t="s">
        <v>309</v>
      </c>
      <c r="F142" s="159" t="s">
        <v>299</v>
      </c>
      <c r="G142" s="159" t="s">
        <v>338</v>
      </c>
      <c r="H142" s="159" t="s">
        <v>95</v>
      </c>
      <c r="I142" s="159" t="s">
        <v>676</v>
      </c>
      <c r="J142" s="159" t="s">
        <v>675</v>
      </c>
      <c r="K142" s="159" t="s">
        <v>677</v>
      </c>
      <c r="L142" s="159" t="s">
        <v>96</v>
      </c>
      <c r="M142" s="159" t="s">
        <v>339</v>
      </c>
      <c r="N142" s="160">
        <v>324.71125999999998</v>
      </c>
    </row>
    <row r="143" spans="2:14">
      <c r="B143" s="159" t="s">
        <v>297</v>
      </c>
      <c r="C143" s="159" t="s">
        <v>298</v>
      </c>
      <c r="D143" s="159" t="s">
        <v>308</v>
      </c>
      <c r="E143" s="159" t="s">
        <v>309</v>
      </c>
      <c r="F143" s="159" t="s">
        <v>299</v>
      </c>
      <c r="G143" s="159" t="s">
        <v>338</v>
      </c>
      <c r="H143" s="159" t="s">
        <v>95</v>
      </c>
      <c r="I143" s="159" t="s">
        <v>678</v>
      </c>
      <c r="J143" s="159" t="s">
        <v>675</v>
      </c>
      <c r="K143" s="159" t="s">
        <v>679</v>
      </c>
      <c r="L143" s="159" t="s">
        <v>96</v>
      </c>
      <c r="M143" s="159" t="s">
        <v>339</v>
      </c>
      <c r="N143" s="160">
        <v>1102.9589900000001</v>
      </c>
    </row>
    <row r="144" spans="2:14">
      <c r="B144" s="159" t="s">
        <v>297</v>
      </c>
      <c r="C144" s="159" t="s">
        <v>298</v>
      </c>
      <c r="D144" s="159" t="s">
        <v>308</v>
      </c>
      <c r="E144" s="159" t="s">
        <v>309</v>
      </c>
      <c r="F144" s="159" t="s">
        <v>299</v>
      </c>
      <c r="G144" s="159" t="s">
        <v>338</v>
      </c>
      <c r="H144" s="159" t="s">
        <v>95</v>
      </c>
      <c r="I144" s="159" t="s">
        <v>680</v>
      </c>
      <c r="J144" s="159" t="s">
        <v>675</v>
      </c>
      <c r="K144" s="159" t="s">
        <v>681</v>
      </c>
      <c r="L144" s="159" t="s">
        <v>96</v>
      </c>
      <c r="M144" s="159" t="s">
        <v>339</v>
      </c>
      <c r="N144" s="160">
        <v>350.86765000000003</v>
      </c>
    </row>
    <row r="145" spans="2:14">
      <c r="B145" s="159" t="s">
        <v>297</v>
      </c>
      <c r="C145" s="159" t="s">
        <v>298</v>
      </c>
      <c r="D145" s="159" t="s">
        <v>308</v>
      </c>
      <c r="E145" s="159" t="s">
        <v>309</v>
      </c>
      <c r="F145" s="159" t="s">
        <v>299</v>
      </c>
      <c r="G145" s="159" t="s">
        <v>338</v>
      </c>
      <c r="H145" s="159" t="s">
        <v>95</v>
      </c>
      <c r="I145" s="159" t="s">
        <v>682</v>
      </c>
      <c r="J145" s="159" t="s">
        <v>411</v>
      </c>
      <c r="K145" s="159" t="s">
        <v>683</v>
      </c>
      <c r="L145" s="159" t="s">
        <v>96</v>
      </c>
      <c r="M145" s="159" t="s">
        <v>339</v>
      </c>
      <c r="N145" s="160">
        <v>-52853.652959999999</v>
      </c>
    </row>
    <row r="146" spans="2:14">
      <c r="B146" s="159" t="s">
        <v>297</v>
      </c>
      <c r="C146" s="159" t="s">
        <v>298</v>
      </c>
      <c r="D146" s="159" t="s">
        <v>308</v>
      </c>
      <c r="E146" s="159" t="s">
        <v>309</v>
      </c>
      <c r="F146" s="159" t="s">
        <v>299</v>
      </c>
      <c r="G146" s="159" t="s">
        <v>338</v>
      </c>
      <c r="H146" s="159" t="s">
        <v>95</v>
      </c>
      <c r="I146" s="159" t="s">
        <v>684</v>
      </c>
      <c r="J146" s="159" t="s">
        <v>411</v>
      </c>
      <c r="K146" s="159" t="s">
        <v>685</v>
      </c>
      <c r="L146" s="159" t="s">
        <v>96</v>
      </c>
      <c r="M146" s="159" t="s">
        <v>339</v>
      </c>
      <c r="N146" s="160">
        <v>687.20294999999999</v>
      </c>
    </row>
    <row r="147" spans="2:14">
      <c r="B147" s="159" t="s">
        <v>297</v>
      </c>
      <c r="C147" s="159" t="s">
        <v>298</v>
      </c>
      <c r="D147" s="159" t="s">
        <v>308</v>
      </c>
      <c r="E147" s="159" t="s">
        <v>309</v>
      </c>
      <c r="F147" s="159" t="s">
        <v>299</v>
      </c>
      <c r="G147" s="159" t="s">
        <v>338</v>
      </c>
      <c r="H147" s="159" t="s">
        <v>95</v>
      </c>
      <c r="I147" s="159" t="s">
        <v>306</v>
      </c>
      <c r="J147" s="159" t="s">
        <v>302</v>
      </c>
      <c r="K147" s="159" t="s">
        <v>307</v>
      </c>
      <c r="L147" s="159" t="s">
        <v>96</v>
      </c>
      <c r="M147" s="159" t="s">
        <v>339</v>
      </c>
      <c r="N147" s="160">
        <v>202966.58530000001</v>
      </c>
    </row>
    <row r="148" spans="2:14">
      <c r="B148" s="159" t="s">
        <v>297</v>
      </c>
      <c r="C148" s="159" t="s">
        <v>298</v>
      </c>
      <c r="D148" s="159" t="s">
        <v>308</v>
      </c>
      <c r="E148" s="159" t="s">
        <v>309</v>
      </c>
      <c r="F148" s="159" t="s">
        <v>299</v>
      </c>
      <c r="G148" s="159" t="s">
        <v>338</v>
      </c>
      <c r="H148" s="159" t="s">
        <v>95</v>
      </c>
      <c r="I148" s="159" t="s">
        <v>686</v>
      </c>
      <c r="J148" s="159" t="s">
        <v>307</v>
      </c>
      <c r="K148" s="159" t="s">
        <v>687</v>
      </c>
      <c r="L148" s="159" t="s">
        <v>96</v>
      </c>
      <c r="M148" s="159" t="s">
        <v>339</v>
      </c>
      <c r="N148" s="160">
        <v>162533.04439</v>
      </c>
    </row>
    <row r="149" spans="2:14">
      <c r="B149" s="159" t="s">
        <v>297</v>
      </c>
      <c r="C149" s="159" t="s">
        <v>298</v>
      </c>
      <c r="D149" s="159" t="s">
        <v>308</v>
      </c>
      <c r="E149" s="159" t="s">
        <v>309</v>
      </c>
      <c r="F149" s="159" t="s">
        <v>299</v>
      </c>
      <c r="G149" s="159" t="s">
        <v>338</v>
      </c>
      <c r="H149" s="159" t="s">
        <v>95</v>
      </c>
      <c r="I149" s="159" t="s">
        <v>688</v>
      </c>
      <c r="J149" s="159" t="s">
        <v>687</v>
      </c>
      <c r="K149" s="159" t="s">
        <v>689</v>
      </c>
      <c r="L149" s="159" t="s">
        <v>96</v>
      </c>
      <c r="M149" s="159" t="s">
        <v>339</v>
      </c>
      <c r="N149" s="160">
        <v>140099.8412</v>
      </c>
    </row>
    <row r="150" spans="2:14">
      <c r="B150" s="159" t="s">
        <v>297</v>
      </c>
      <c r="C150" s="159" t="s">
        <v>298</v>
      </c>
      <c r="D150" s="159" t="s">
        <v>308</v>
      </c>
      <c r="E150" s="159" t="s">
        <v>309</v>
      </c>
      <c r="F150" s="159" t="s">
        <v>299</v>
      </c>
      <c r="G150" s="159" t="s">
        <v>338</v>
      </c>
      <c r="H150" s="159" t="s">
        <v>95</v>
      </c>
      <c r="I150" s="159" t="s">
        <v>690</v>
      </c>
      <c r="J150" s="159" t="s">
        <v>687</v>
      </c>
      <c r="K150" s="159" t="s">
        <v>691</v>
      </c>
      <c r="L150" s="159" t="s">
        <v>96</v>
      </c>
      <c r="M150" s="159" t="s">
        <v>339</v>
      </c>
      <c r="N150" s="160">
        <v>21326.72264</v>
      </c>
    </row>
    <row r="151" spans="2:14">
      <c r="B151" s="159" t="s">
        <v>297</v>
      </c>
      <c r="C151" s="159" t="s">
        <v>298</v>
      </c>
      <c r="D151" s="159" t="s">
        <v>308</v>
      </c>
      <c r="E151" s="159" t="s">
        <v>309</v>
      </c>
      <c r="F151" s="159" t="s">
        <v>299</v>
      </c>
      <c r="G151" s="159" t="s">
        <v>338</v>
      </c>
      <c r="H151" s="159" t="s">
        <v>95</v>
      </c>
      <c r="I151" s="159" t="s">
        <v>692</v>
      </c>
      <c r="J151" s="159" t="s">
        <v>687</v>
      </c>
      <c r="K151" s="159" t="s">
        <v>693</v>
      </c>
      <c r="L151" s="159" t="s">
        <v>96</v>
      </c>
      <c r="M151" s="159" t="s">
        <v>339</v>
      </c>
      <c r="N151" s="160">
        <v>1106.48055</v>
      </c>
    </row>
    <row r="152" spans="2:14">
      <c r="B152" s="159" t="s">
        <v>297</v>
      </c>
      <c r="C152" s="159" t="s">
        <v>298</v>
      </c>
      <c r="D152" s="159" t="s">
        <v>308</v>
      </c>
      <c r="E152" s="159" t="s">
        <v>309</v>
      </c>
      <c r="F152" s="159" t="s">
        <v>299</v>
      </c>
      <c r="G152" s="159" t="s">
        <v>338</v>
      </c>
      <c r="H152" s="159" t="s">
        <v>95</v>
      </c>
      <c r="I152" s="159" t="s">
        <v>694</v>
      </c>
      <c r="J152" s="159" t="s">
        <v>307</v>
      </c>
      <c r="K152" s="159" t="s">
        <v>695</v>
      </c>
      <c r="L152" s="159" t="s">
        <v>96</v>
      </c>
      <c r="M152" s="159" t="s">
        <v>339</v>
      </c>
      <c r="N152" s="160">
        <v>4079.4994900000002</v>
      </c>
    </row>
    <row r="153" spans="2:14">
      <c r="B153" s="159" t="s">
        <v>297</v>
      </c>
      <c r="C153" s="159" t="s">
        <v>298</v>
      </c>
      <c r="D153" s="159" t="s">
        <v>308</v>
      </c>
      <c r="E153" s="159" t="s">
        <v>309</v>
      </c>
      <c r="F153" s="159" t="s">
        <v>299</v>
      </c>
      <c r="G153" s="159" t="s">
        <v>338</v>
      </c>
      <c r="H153" s="159" t="s">
        <v>95</v>
      </c>
      <c r="I153" s="159" t="s">
        <v>696</v>
      </c>
      <c r="J153" s="159" t="s">
        <v>695</v>
      </c>
      <c r="K153" s="159" t="s">
        <v>697</v>
      </c>
      <c r="L153" s="159" t="s">
        <v>96</v>
      </c>
      <c r="M153" s="159" t="s">
        <v>339</v>
      </c>
      <c r="N153" s="160">
        <v>3681.9372400000002</v>
      </c>
    </row>
    <row r="154" spans="2:14">
      <c r="B154" s="159" t="s">
        <v>297</v>
      </c>
      <c r="C154" s="159" t="s">
        <v>298</v>
      </c>
      <c r="D154" s="159" t="s">
        <v>308</v>
      </c>
      <c r="E154" s="159" t="s">
        <v>309</v>
      </c>
      <c r="F154" s="159" t="s">
        <v>299</v>
      </c>
      <c r="G154" s="159" t="s">
        <v>338</v>
      </c>
      <c r="H154" s="159" t="s">
        <v>95</v>
      </c>
      <c r="I154" s="159" t="s">
        <v>698</v>
      </c>
      <c r="J154" s="159" t="s">
        <v>695</v>
      </c>
      <c r="K154" s="159" t="s">
        <v>699</v>
      </c>
      <c r="L154" s="159" t="s">
        <v>96</v>
      </c>
      <c r="M154" s="159" t="s">
        <v>339</v>
      </c>
      <c r="N154" s="160">
        <v>397.56225000000001</v>
      </c>
    </row>
    <row r="155" spans="2:14">
      <c r="B155" s="159" t="s">
        <v>297</v>
      </c>
      <c r="C155" s="159" t="s">
        <v>298</v>
      </c>
      <c r="D155" s="159" t="s">
        <v>308</v>
      </c>
      <c r="E155" s="159" t="s">
        <v>309</v>
      </c>
      <c r="F155" s="159" t="s">
        <v>299</v>
      </c>
      <c r="G155" s="159" t="s">
        <v>338</v>
      </c>
      <c r="H155" s="159" t="s">
        <v>95</v>
      </c>
      <c r="I155" s="159" t="s">
        <v>700</v>
      </c>
      <c r="J155" s="159" t="s">
        <v>307</v>
      </c>
      <c r="K155" s="159" t="s">
        <v>701</v>
      </c>
      <c r="L155" s="159" t="s">
        <v>96</v>
      </c>
      <c r="M155" s="159" t="s">
        <v>339</v>
      </c>
      <c r="N155" s="160">
        <v>4767.9906600000004</v>
      </c>
    </row>
    <row r="156" spans="2:14">
      <c r="B156" s="159" t="s">
        <v>297</v>
      </c>
      <c r="C156" s="159" t="s">
        <v>298</v>
      </c>
      <c r="D156" s="159" t="s">
        <v>308</v>
      </c>
      <c r="E156" s="159" t="s">
        <v>309</v>
      </c>
      <c r="F156" s="159" t="s">
        <v>299</v>
      </c>
      <c r="G156" s="159" t="s">
        <v>338</v>
      </c>
      <c r="H156" s="159" t="s">
        <v>95</v>
      </c>
      <c r="I156" s="159" t="s">
        <v>702</v>
      </c>
      <c r="J156" s="159" t="s">
        <v>701</v>
      </c>
      <c r="K156" s="159" t="s">
        <v>703</v>
      </c>
      <c r="L156" s="159" t="s">
        <v>96</v>
      </c>
      <c r="M156" s="159" t="s">
        <v>339</v>
      </c>
      <c r="N156" s="160">
        <v>3929.3400700000002</v>
      </c>
    </row>
    <row r="157" spans="2:14">
      <c r="B157" s="159" t="s">
        <v>297</v>
      </c>
      <c r="C157" s="159" t="s">
        <v>298</v>
      </c>
      <c r="D157" s="159" t="s">
        <v>308</v>
      </c>
      <c r="E157" s="159" t="s">
        <v>309</v>
      </c>
      <c r="F157" s="159" t="s">
        <v>299</v>
      </c>
      <c r="G157" s="159" t="s">
        <v>338</v>
      </c>
      <c r="H157" s="159" t="s">
        <v>95</v>
      </c>
      <c r="I157" s="159" t="s">
        <v>704</v>
      </c>
      <c r="J157" s="159" t="s">
        <v>701</v>
      </c>
      <c r="K157" s="159" t="s">
        <v>705</v>
      </c>
      <c r="L157" s="159" t="s">
        <v>96</v>
      </c>
      <c r="M157" s="159" t="s">
        <v>339</v>
      </c>
      <c r="N157" s="160">
        <v>838.65058999999997</v>
      </c>
    </row>
    <row r="158" spans="2:14">
      <c r="B158" s="159" t="s">
        <v>297</v>
      </c>
      <c r="C158" s="159" t="s">
        <v>298</v>
      </c>
      <c r="D158" s="159" t="s">
        <v>308</v>
      </c>
      <c r="E158" s="159" t="s">
        <v>309</v>
      </c>
      <c r="F158" s="159" t="s">
        <v>299</v>
      </c>
      <c r="G158" s="159" t="s">
        <v>338</v>
      </c>
      <c r="H158" s="159" t="s">
        <v>95</v>
      </c>
      <c r="I158" s="159" t="s">
        <v>706</v>
      </c>
      <c r="J158" s="159" t="s">
        <v>307</v>
      </c>
      <c r="K158" s="159" t="s">
        <v>707</v>
      </c>
      <c r="L158" s="159" t="s">
        <v>96</v>
      </c>
      <c r="M158" s="159" t="s">
        <v>339</v>
      </c>
      <c r="N158" s="160">
        <v>31412.443739999999</v>
      </c>
    </row>
    <row r="159" spans="2:14">
      <c r="B159" s="159" t="s">
        <v>297</v>
      </c>
      <c r="C159" s="159" t="s">
        <v>298</v>
      </c>
      <c r="D159" s="159" t="s">
        <v>308</v>
      </c>
      <c r="E159" s="159" t="s">
        <v>309</v>
      </c>
      <c r="F159" s="159" t="s">
        <v>299</v>
      </c>
      <c r="G159" s="159" t="s">
        <v>338</v>
      </c>
      <c r="H159" s="159" t="s">
        <v>95</v>
      </c>
      <c r="I159" s="159" t="s">
        <v>708</v>
      </c>
      <c r="J159" s="159" t="s">
        <v>707</v>
      </c>
      <c r="K159" s="159" t="s">
        <v>709</v>
      </c>
      <c r="L159" s="159" t="s">
        <v>96</v>
      </c>
      <c r="M159" s="159" t="s">
        <v>339</v>
      </c>
      <c r="N159" s="160">
        <v>21192.205989999999</v>
      </c>
    </row>
    <row r="160" spans="2:14">
      <c r="B160" s="159" t="s">
        <v>297</v>
      </c>
      <c r="C160" s="159" t="s">
        <v>298</v>
      </c>
      <c r="D160" s="159" t="s">
        <v>308</v>
      </c>
      <c r="E160" s="159" t="s">
        <v>309</v>
      </c>
      <c r="F160" s="159" t="s">
        <v>299</v>
      </c>
      <c r="G160" s="159" t="s">
        <v>338</v>
      </c>
      <c r="H160" s="159" t="s">
        <v>95</v>
      </c>
      <c r="I160" s="159" t="s">
        <v>710</v>
      </c>
      <c r="J160" s="159" t="s">
        <v>707</v>
      </c>
      <c r="K160" s="159" t="s">
        <v>711</v>
      </c>
      <c r="L160" s="159" t="s">
        <v>96</v>
      </c>
      <c r="M160" s="159" t="s">
        <v>339</v>
      </c>
      <c r="N160" s="160">
        <v>10116.808230000001</v>
      </c>
    </row>
    <row r="161" spans="2:16">
      <c r="B161" s="159" t="s">
        <v>297</v>
      </c>
      <c r="C161" s="159" t="s">
        <v>298</v>
      </c>
      <c r="D161" s="159" t="s">
        <v>308</v>
      </c>
      <c r="E161" s="159" t="s">
        <v>309</v>
      </c>
      <c r="F161" s="159" t="s">
        <v>299</v>
      </c>
      <c r="G161" s="159" t="s">
        <v>338</v>
      </c>
      <c r="H161" s="159" t="s">
        <v>95</v>
      </c>
      <c r="I161" s="159" t="s">
        <v>712</v>
      </c>
      <c r="J161" s="159" t="s">
        <v>707</v>
      </c>
      <c r="K161" s="159" t="s">
        <v>713</v>
      </c>
      <c r="L161" s="159" t="s">
        <v>96</v>
      </c>
      <c r="M161" s="159" t="s">
        <v>339</v>
      </c>
      <c r="N161" s="160">
        <v>103.42952</v>
      </c>
    </row>
    <row r="162" spans="2:16">
      <c r="B162" s="159" t="s">
        <v>297</v>
      </c>
      <c r="C162" s="159" t="s">
        <v>298</v>
      </c>
      <c r="D162" s="159" t="s">
        <v>308</v>
      </c>
      <c r="E162" s="159" t="s">
        <v>309</v>
      </c>
      <c r="F162" s="159" t="s">
        <v>299</v>
      </c>
      <c r="G162" s="159" t="s">
        <v>338</v>
      </c>
      <c r="H162" s="159" t="s">
        <v>95</v>
      </c>
      <c r="I162" s="159" t="s">
        <v>714</v>
      </c>
      <c r="J162" s="159" t="s">
        <v>307</v>
      </c>
      <c r="K162" s="159" t="s">
        <v>715</v>
      </c>
      <c r="L162" s="159" t="s">
        <v>96</v>
      </c>
      <c r="M162" s="159" t="s">
        <v>339</v>
      </c>
      <c r="N162" s="160">
        <v>173.60701</v>
      </c>
    </row>
    <row r="163" spans="2:16">
      <c r="B163" s="159" t="s">
        <v>297</v>
      </c>
      <c r="C163" s="159" t="s">
        <v>298</v>
      </c>
      <c r="D163" s="159" t="s">
        <v>308</v>
      </c>
      <c r="E163" s="159" t="s">
        <v>309</v>
      </c>
      <c r="F163" s="159" t="s">
        <v>299</v>
      </c>
      <c r="G163" s="159" t="s">
        <v>338</v>
      </c>
      <c r="H163" s="159" t="s">
        <v>95</v>
      </c>
      <c r="I163" s="159" t="s">
        <v>716</v>
      </c>
      <c r="J163" s="159" t="s">
        <v>717</v>
      </c>
      <c r="K163" s="159" t="s">
        <v>718</v>
      </c>
      <c r="L163" s="159" t="s">
        <v>96</v>
      </c>
      <c r="M163" s="159" t="s">
        <v>339</v>
      </c>
      <c r="N163" s="160">
        <v>168156.35918</v>
      </c>
    </row>
    <row r="164" spans="2:16">
      <c r="B164" s="159" t="s">
        <v>297</v>
      </c>
      <c r="C164" s="159" t="s">
        <v>298</v>
      </c>
      <c r="D164" s="159" t="s">
        <v>308</v>
      </c>
      <c r="E164" s="159" t="s">
        <v>309</v>
      </c>
      <c r="F164" s="159" t="s">
        <v>299</v>
      </c>
      <c r="G164" s="159" t="s">
        <v>338</v>
      </c>
      <c r="H164" s="159" t="s">
        <v>95</v>
      </c>
      <c r="I164" s="159" t="s">
        <v>719</v>
      </c>
      <c r="J164" s="159" t="s">
        <v>717</v>
      </c>
      <c r="K164" s="159" t="s">
        <v>720</v>
      </c>
      <c r="L164" s="159" t="s">
        <v>96</v>
      </c>
      <c r="M164" s="159" t="s">
        <v>339</v>
      </c>
      <c r="N164" s="160">
        <v>3957.6212500000001</v>
      </c>
    </row>
    <row r="165" spans="2:16">
      <c r="B165" s="159" t="s">
        <v>297</v>
      </c>
      <c r="C165" s="159" t="s">
        <v>298</v>
      </c>
      <c r="D165" s="159" t="s">
        <v>308</v>
      </c>
      <c r="E165" s="159" t="s">
        <v>309</v>
      </c>
      <c r="F165" s="159" t="s">
        <v>299</v>
      </c>
      <c r="G165" s="159" t="s">
        <v>338</v>
      </c>
      <c r="H165" s="159" t="s">
        <v>95</v>
      </c>
      <c r="I165" s="159" t="s">
        <v>721</v>
      </c>
      <c r="J165" s="159" t="s">
        <v>717</v>
      </c>
      <c r="K165" s="159" t="s">
        <v>722</v>
      </c>
      <c r="L165" s="159" t="s">
        <v>96</v>
      </c>
      <c r="M165" s="159" t="s">
        <v>339</v>
      </c>
      <c r="N165" s="160">
        <v>1539.72226</v>
      </c>
    </row>
    <row r="166" spans="2:16">
      <c r="B166" s="159" t="s">
        <v>297</v>
      </c>
      <c r="C166" s="159" t="s">
        <v>298</v>
      </c>
      <c r="D166" s="159" t="s">
        <v>308</v>
      </c>
      <c r="E166" s="159" t="s">
        <v>309</v>
      </c>
      <c r="F166" s="159" t="s">
        <v>299</v>
      </c>
      <c r="G166" s="159" t="s">
        <v>338</v>
      </c>
      <c r="H166" s="159" t="s">
        <v>95</v>
      </c>
      <c r="I166" s="159" t="s">
        <v>723</v>
      </c>
      <c r="J166" s="159" t="s">
        <v>302</v>
      </c>
      <c r="K166" s="159" t="s">
        <v>724</v>
      </c>
      <c r="L166" s="159" t="s">
        <v>21</v>
      </c>
      <c r="M166" s="159" t="s">
        <v>339</v>
      </c>
      <c r="N166" s="160">
        <v>0</v>
      </c>
    </row>
    <row r="167" spans="2:16">
      <c r="B167" s="159" t="s">
        <v>297</v>
      </c>
      <c r="C167" s="159" t="s">
        <v>298</v>
      </c>
      <c r="D167" s="159" t="s">
        <v>308</v>
      </c>
      <c r="E167" s="159" t="s">
        <v>309</v>
      </c>
      <c r="F167" s="159" t="s">
        <v>299</v>
      </c>
      <c r="G167" s="159" t="s">
        <v>338</v>
      </c>
      <c r="H167" s="159" t="s">
        <v>95</v>
      </c>
      <c r="I167" s="159" t="s">
        <v>725</v>
      </c>
      <c r="J167" s="159" t="s">
        <v>302</v>
      </c>
      <c r="K167" s="159" t="s">
        <v>726</v>
      </c>
      <c r="L167" s="159" t="s">
        <v>96</v>
      </c>
      <c r="M167" s="159" t="s">
        <v>339</v>
      </c>
      <c r="N167" s="160">
        <v>2351.8483999999999</v>
      </c>
    </row>
    <row r="168" spans="2:16">
      <c r="B168" s="159" t="s">
        <v>297</v>
      </c>
      <c r="C168" s="159" t="s">
        <v>298</v>
      </c>
      <c r="D168" s="159" t="s">
        <v>308</v>
      </c>
      <c r="E168" s="159" t="s">
        <v>309</v>
      </c>
      <c r="F168" s="159" t="s">
        <v>299</v>
      </c>
      <c r="G168" s="159" t="s">
        <v>338</v>
      </c>
      <c r="H168" s="159" t="s">
        <v>95</v>
      </c>
      <c r="I168" s="159" t="s">
        <v>727</v>
      </c>
      <c r="J168" s="159" t="s">
        <v>96</v>
      </c>
      <c r="K168" s="159" t="s">
        <v>728</v>
      </c>
      <c r="L168" s="159" t="s">
        <v>96</v>
      </c>
      <c r="M168" s="159" t="s">
        <v>339</v>
      </c>
      <c r="N168" s="160">
        <v>5345214.1709099999</v>
      </c>
      <c r="O168" s="49">
        <f>N171+N41</f>
        <v>5345214.1709099999</v>
      </c>
      <c r="P168" t="s">
        <v>735</v>
      </c>
    </row>
    <row r="169" spans="2:16">
      <c r="B169" s="159" t="s">
        <v>297</v>
      </c>
      <c r="C169" s="159" t="s">
        <v>298</v>
      </c>
      <c r="D169" s="159" t="s">
        <v>308</v>
      </c>
      <c r="E169" s="159" t="s">
        <v>309</v>
      </c>
      <c r="F169" s="159" t="s">
        <v>299</v>
      </c>
      <c r="G169" s="159" t="s">
        <v>338</v>
      </c>
      <c r="H169" s="159" t="s">
        <v>95</v>
      </c>
      <c r="I169" s="159" t="s">
        <v>337</v>
      </c>
      <c r="J169" s="159" t="s">
        <v>96</v>
      </c>
      <c r="K169" s="159" t="s">
        <v>302</v>
      </c>
      <c r="L169" s="159" t="s">
        <v>96</v>
      </c>
      <c r="M169" s="159" t="s">
        <v>339</v>
      </c>
      <c r="N169" s="160">
        <v>4897059.9123600004</v>
      </c>
    </row>
    <row r="170" spans="2:16">
      <c r="B170" s="159" t="s">
        <v>297</v>
      </c>
      <c r="C170" s="159" t="s">
        <v>298</v>
      </c>
      <c r="D170" s="159" t="s">
        <v>308</v>
      </c>
      <c r="E170" s="159" t="s">
        <v>309</v>
      </c>
      <c r="F170" s="159" t="s">
        <v>299</v>
      </c>
      <c r="G170" s="159" t="s">
        <v>338</v>
      </c>
      <c r="H170" s="159" t="s">
        <v>95</v>
      </c>
      <c r="I170" s="159" t="s">
        <v>729</v>
      </c>
      <c r="J170" s="159" t="s">
        <v>96</v>
      </c>
      <c r="K170" s="159" t="s">
        <v>730</v>
      </c>
      <c r="L170" s="159" t="s">
        <v>96</v>
      </c>
      <c r="M170" s="159" t="s">
        <v>339</v>
      </c>
      <c r="N170" s="160">
        <v>4894708.0639599999</v>
      </c>
    </row>
    <row r="171" spans="2:16">
      <c r="B171" s="159" t="s">
        <v>297</v>
      </c>
      <c r="C171" s="159" t="s">
        <v>298</v>
      </c>
      <c r="D171" s="159" t="s">
        <v>308</v>
      </c>
      <c r="E171" s="159" t="s">
        <v>309</v>
      </c>
      <c r="F171" s="159" t="s">
        <v>299</v>
      </c>
      <c r="G171" s="159" t="s">
        <v>338</v>
      </c>
      <c r="H171" s="159" t="s">
        <v>95</v>
      </c>
      <c r="I171" s="159" t="s">
        <v>731</v>
      </c>
      <c r="J171" s="159" t="s">
        <v>96</v>
      </c>
      <c r="K171" s="159" t="s">
        <v>732</v>
      </c>
      <c r="L171" s="159" t="s">
        <v>96</v>
      </c>
      <c r="M171" s="159" t="s">
        <v>339</v>
      </c>
      <c r="N171" s="160">
        <v>5213531.79648</v>
      </c>
    </row>
    <row r="172" spans="2:16">
      <c r="B172" s="159" t="s">
        <v>297</v>
      </c>
      <c r="C172" s="159" t="s">
        <v>298</v>
      </c>
      <c r="D172" s="159" t="s">
        <v>308</v>
      </c>
      <c r="E172" s="159" t="s">
        <v>309</v>
      </c>
      <c r="F172" s="159" t="s">
        <v>299</v>
      </c>
      <c r="G172" s="159" t="s">
        <v>338</v>
      </c>
      <c r="H172" s="159" t="s">
        <v>95</v>
      </c>
      <c r="I172" s="159" t="s">
        <v>733</v>
      </c>
      <c r="J172" s="159" t="s">
        <v>96</v>
      </c>
      <c r="K172" s="159" t="s">
        <v>734</v>
      </c>
      <c r="L172" s="159" t="s">
        <v>96</v>
      </c>
      <c r="M172" s="159" t="s">
        <v>339</v>
      </c>
      <c r="N172" s="160">
        <v>5211179.9480799995</v>
      </c>
      <c r="O172" s="49">
        <f>SUM(N4,N45,N88,N147,N166)</f>
        <v>5211179.9480799995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35"/>
  <sheetViews>
    <sheetView showGridLines="0" zoomScaleNormal="100" workbookViewId="0">
      <selection activeCell="G29" sqref="G29"/>
    </sheetView>
  </sheetViews>
  <sheetFormatPr defaultRowHeight="15"/>
  <sheetData>
    <row r="1" spans="2:28" ht="15.75" thickBot="1">
      <c r="I1" t="s">
        <v>89</v>
      </c>
    </row>
    <row r="2" spans="2:28" ht="15.75" thickBot="1">
      <c r="B2" s="165" t="s">
        <v>73</v>
      </c>
      <c r="C2" s="165"/>
      <c r="D2" s="165"/>
      <c r="E2" s="165"/>
      <c r="F2" s="165"/>
      <c r="G2" s="165"/>
      <c r="H2" s="165"/>
      <c r="I2" s="165"/>
      <c r="J2" s="165"/>
      <c r="K2" s="165"/>
      <c r="L2" s="165"/>
      <c r="M2" s="165"/>
      <c r="O2" s="165" t="s">
        <v>73</v>
      </c>
      <c r="P2" s="165"/>
      <c r="Q2" s="165"/>
      <c r="R2" s="165"/>
      <c r="S2" s="165"/>
      <c r="T2" s="165"/>
      <c r="U2" s="165"/>
      <c r="V2" s="165"/>
      <c r="W2" s="165"/>
      <c r="X2" s="165"/>
      <c r="Y2" s="165"/>
      <c r="Z2" s="165"/>
      <c r="AA2" s="165"/>
      <c r="AB2" s="165"/>
    </row>
    <row r="3" spans="2:28" ht="15.75" thickBot="1">
      <c r="B3" s="20" t="s">
        <v>74</v>
      </c>
      <c r="C3" s="21">
        <v>2000</v>
      </c>
      <c r="D3" s="21">
        <v>2005</v>
      </c>
      <c r="E3" s="21">
        <v>2010</v>
      </c>
      <c r="F3" s="21">
        <v>2015</v>
      </c>
      <c r="G3" s="21">
        <v>2020</v>
      </c>
      <c r="H3" s="21">
        <v>2025</v>
      </c>
      <c r="I3" s="21">
        <v>2030</v>
      </c>
      <c r="J3" s="21">
        <v>2035</v>
      </c>
      <c r="K3" s="21">
        <v>2040</v>
      </c>
      <c r="L3" s="21">
        <v>2045</v>
      </c>
      <c r="M3" s="21">
        <v>2050</v>
      </c>
      <c r="O3" s="20" t="s">
        <v>88</v>
      </c>
      <c r="P3" s="21">
        <v>1990</v>
      </c>
      <c r="Q3" s="21">
        <v>1995</v>
      </c>
      <c r="R3" s="21">
        <v>2000</v>
      </c>
      <c r="S3" s="21">
        <v>2005</v>
      </c>
      <c r="T3" s="21">
        <v>2010</v>
      </c>
      <c r="U3" s="21">
        <v>2015</v>
      </c>
      <c r="V3" s="21">
        <v>2020</v>
      </c>
      <c r="W3" s="21">
        <v>2025</v>
      </c>
      <c r="X3" s="21">
        <v>2030</v>
      </c>
      <c r="Y3" s="21">
        <v>2035</v>
      </c>
      <c r="Z3" s="21">
        <v>2040</v>
      </c>
      <c r="AA3" s="21">
        <v>2045</v>
      </c>
      <c r="AB3" s="21">
        <v>2050</v>
      </c>
    </row>
    <row r="4" spans="2:28">
      <c r="B4" s="22" t="s">
        <v>75</v>
      </c>
      <c r="C4" s="23">
        <v>1406.3340420146455</v>
      </c>
      <c r="D4" s="23">
        <v>1486.7809594066173</v>
      </c>
      <c r="E4" s="23">
        <v>1343.9896836146245</v>
      </c>
      <c r="F4" s="23">
        <v>1177.9302966462585</v>
      </c>
      <c r="G4" s="23">
        <v>1058.6869216384951</v>
      </c>
      <c r="H4" s="23">
        <v>994.33321543375075</v>
      </c>
      <c r="I4" s="23">
        <v>865.4423801625835</v>
      </c>
      <c r="J4" s="23">
        <v>758.54323146266393</v>
      </c>
      <c r="K4" s="23">
        <v>670.9756466010565</v>
      </c>
      <c r="L4" s="23">
        <v>541.36136754241068</v>
      </c>
      <c r="M4" s="23">
        <v>393.38413527484772</v>
      </c>
      <c r="O4" s="22" t="s">
        <v>75</v>
      </c>
      <c r="P4" s="23"/>
      <c r="Q4" s="23">
        <v>1437.0614671439769</v>
      </c>
      <c r="R4" s="23">
        <v>1406.3340420146455</v>
      </c>
      <c r="S4" s="23">
        <v>1486.7809594066173</v>
      </c>
      <c r="T4" s="23">
        <v>1343.9896836146245</v>
      </c>
      <c r="U4" s="23">
        <v>1177.8570045103904</v>
      </c>
      <c r="V4" s="23">
        <v>1068.8239891840765</v>
      </c>
      <c r="W4" s="23">
        <v>945.87502310776847</v>
      </c>
      <c r="X4" s="23">
        <v>735.41327197397698</v>
      </c>
      <c r="Y4" s="23">
        <v>481.08572756305796</v>
      </c>
      <c r="Z4" s="23">
        <v>145.50809129186356</v>
      </c>
      <c r="AA4" s="23">
        <v>88.128435421935848</v>
      </c>
      <c r="AB4" s="23">
        <v>60.366571005447298</v>
      </c>
    </row>
    <row r="5" spans="2:28">
      <c r="B5" s="24" t="s">
        <v>76</v>
      </c>
      <c r="C5" s="25">
        <v>167.25444672388528</v>
      </c>
      <c r="D5" s="25">
        <v>170.7151513502198</v>
      </c>
      <c r="E5" s="25">
        <v>155.22045300397738</v>
      </c>
      <c r="F5" s="25">
        <v>148.55971446413602</v>
      </c>
      <c r="G5" s="25">
        <v>132.66024427690908</v>
      </c>
      <c r="H5" s="25">
        <v>121.68953468123783</v>
      </c>
      <c r="I5" s="25">
        <v>112.09220784970695</v>
      </c>
      <c r="J5" s="25">
        <v>104.7844841043685</v>
      </c>
      <c r="K5" s="25">
        <v>98.675522229637934</v>
      </c>
      <c r="L5" s="25">
        <v>93.969701109956233</v>
      </c>
      <c r="M5" s="25">
        <v>91.287419295695685</v>
      </c>
      <c r="O5" s="24" t="s">
        <v>76</v>
      </c>
      <c r="P5" s="25"/>
      <c r="Q5" s="25">
        <v>168.09631835678181</v>
      </c>
      <c r="R5" s="25">
        <v>167.25444672388528</v>
      </c>
      <c r="S5" s="25">
        <v>170.7151513502198</v>
      </c>
      <c r="T5" s="25">
        <v>155.22045300397738</v>
      </c>
      <c r="U5" s="25">
        <v>148.52347437339927</v>
      </c>
      <c r="V5" s="25">
        <v>132.43361282728657</v>
      </c>
      <c r="W5" s="25">
        <v>117.50784025877527</v>
      </c>
      <c r="X5" s="25">
        <v>107.55423455002531</v>
      </c>
      <c r="Y5" s="25">
        <v>87.244413612430989</v>
      </c>
      <c r="Z5" s="25">
        <v>54.541266477023761</v>
      </c>
      <c r="AA5" s="25">
        <v>47.15908478159708</v>
      </c>
      <c r="AB5" s="25">
        <v>41.091879586288925</v>
      </c>
    </row>
    <row r="6" spans="2:28">
      <c r="B6" s="24" t="s">
        <v>77</v>
      </c>
      <c r="C6" s="25">
        <v>690.990589292001</v>
      </c>
      <c r="D6" s="25">
        <v>634.05199197331478</v>
      </c>
      <c r="E6" s="25">
        <v>511.78140631827245</v>
      </c>
      <c r="F6" s="25">
        <v>505.58997244731347</v>
      </c>
      <c r="G6" s="25">
        <v>501.50570232498058</v>
      </c>
      <c r="H6" s="25">
        <v>441.87615051521243</v>
      </c>
      <c r="I6" s="25">
        <v>375.82894552119978</v>
      </c>
      <c r="J6" s="25">
        <v>316.42107739074675</v>
      </c>
      <c r="K6" s="25">
        <v>275.60074013895604</v>
      </c>
      <c r="L6" s="25">
        <v>260.91993783430576</v>
      </c>
      <c r="M6" s="25">
        <v>252.74676672735899</v>
      </c>
      <c r="O6" s="24" t="s">
        <v>77</v>
      </c>
      <c r="P6" s="25"/>
      <c r="Q6" s="25">
        <v>736.65636886528387</v>
      </c>
      <c r="R6" s="25">
        <v>690.990589292001</v>
      </c>
      <c r="S6" s="25">
        <v>634.05199197331478</v>
      </c>
      <c r="T6" s="25">
        <v>511.78140631827245</v>
      </c>
      <c r="U6" s="25">
        <v>505.69950415357641</v>
      </c>
      <c r="V6" s="25">
        <v>493.66726840218718</v>
      </c>
      <c r="W6" s="25">
        <v>430.66279173718806</v>
      </c>
      <c r="X6" s="25">
        <v>357.98403810619561</v>
      </c>
      <c r="Y6" s="25">
        <v>285.22577309510336</v>
      </c>
      <c r="Z6" s="25">
        <v>235.48457124666658</v>
      </c>
      <c r="AA6" s="25">
        <v>184.43885758604321</v>
      </c>
      <c r="AB6" s="25">
        <v>122.81458884975164</v>
      </c>
    </row>
    <row r="7" spans="2:28">
      <c r="B7" s="24" t="s">
        <v>78</v>
      </c>
      <c r="C7" s="25">
        <v>468.0245967007728</v>
      </c>
      <c r="D7" s="25">
        <v>484.16422198502914</v>
      </c>
      <c r="E7" s="25">
        <v>466.85336688344427</v>
      </c>
      <c r="F7" s="25">
        <v>422.74848267800922</v>
      </c>
      <c r="G7" s="25">
        <v>383.99368152563312</v>
      </c>
      <c r="H7" s="25">
        <v>376.70261450093273</v>
      </c>
      <c r="I7" s="25">
        <v>360.77344089860145</v>
      </c>
      <c r="J7" s="25">
        <v>350.95885326340419</v>
      </c>
      <c r="K7" s="25">
        <v>338.69228658054692</v>
      </c>
      <c r="L7" s="25">
        <v>332.55142196386311</v>
      </c>
      <c r="M7" s="25">
        <v>326.16796349193828</v>
      </c>
      <c r="O7" s="24" t="s">
        <v>78</v>
      </c>
      <c r="P7" s="25"/>
      <c r="Q7" s="25">
        <v>488.05139324459117</v>
      </c>
      <c r="R7" s="25">
        <v>468.0245967007728</v>
      </c>
      <c r="S7" s="25">
        <v>484.16422198502914</v>
      </c>
      <c r="T7" s="25">
        <v>466.85336688344427</v>
      </c>
      <c r="U7" s="25">
        <v>422.74848267800922</v>
      </c>
      <c r="V7" s="25">
        <v>385.05741956479721</v>
      </c>
      <c r="W7" s="25">
        <v>350.7563594817932</v>
      </c>
      <c r="X7" s="25">
        <v>288.93274658582988</v>
      </c>
      <c r="Y7" s="25">
        <v>250.44785636230969</v>
      </c>
      <c r="Z7" s="25">
        <v>203.18729345344661</v>
      </c>
      <c r="AA7" s="25">
        <v>131.60629334875966</v>
      </c>
      <c r="AB7" s="25">
        <v>64.893948969382834</v>
      </c>
    </row>
    <row r="8" spans="2:28">
      <c r="B8" s="26" t="s">
        <v>79</v>
      </c>
      <c r="C8" s="25">
        <v>257.87971475140256</v>
      </c>
      <c r="D8" s="25">
        <v>271.60025716491782</v>
      </c>
      <c r="E8" s="25">
        <v>267.91459141975469</v>
      </c>
      <c r="F8" s="25">
        <v>245.83624792311016</v>
      </c>
      <c r="G8" s="25">
        <v>220.71015708128846</v>
      </c>
      <c r="H8" s="25">
        <v>201.70258544676449</v>
      </c>
      <c r="I8" s="25">
        <v>183.23710299186959</v>
      </c>
      <c r="J8" s="25">
        <v>169.99324746551397</v>
      </c>
      <c r="K8" s="25">
        <v>163.98336291831944</v>
      </c>
      <c r="L8" s="25">
        <v>159.79350887544132</v>
      </c>
      <c r="M8" s="25">
        <v>155.44906531357987</v>
      </c>
      <c r="O8" s="26" t="s">
        <v>79</v>
      </c>
      <c r="P8" s="25"/>
      <c r="Q8" s="25">
        <v>280.94295348739007</v>
      </c>
      <c r="R8" s="25">
        <v>257.87971475140256</v>
      </c>
      <c r="S8" s="25">
        <v>271.60025716491782</v>
      </c>
      <c r="T8" s="25">
        <v>267.91459141975469</v>
      </c>
      <c r="U8" s="25">
        <v>245.83624792311016</v>
      </c>
      <c r="V8" s="25">
        <v>221.77077820990274</v>
      </c>
      <c r="W8" s="25">
        <v>183.84826780971491</v>
      </c>
      <c r="X8" s="25">
        <v>145.47874944516002</v>
      </c>
      <c r="Y8" s="25">
        <v>122.46824175300932</v>
      </c>
      <c r="Z8" s="25">
        <v>101.10553799712234</v>
      </c>
      <c r="AA8" s="25">
        <v>70.123410793015836</v>
      </c>
      <c r="AB8" s="25">
        <v>41.48676862654662</v>
      </c>
    </row>
    <row r="9" spans="2:28" ht="15.75" thickBot="1">
      <c r="B9" s="27" t="s">
        <v>80</v>
      </c>
      <c r="C9" s="31">
        <v>1001.6678187630532</v>
      </c>
      <c r="D9" s="31">
        <v>1079.8211325770999</v>
      </c>
      <c r="E9" s="31">
        <v>1036.5713385158328</v>
      </c>
      <c r="F9" s="31">
        <v>1023.4085185345638</v>
      </c>
      <c r="G9" s="31">
        <v>983.74153044388186</v>
      </c>
      <c r="H9" s="31">
        <v>963.07952541709483</v>
      </c>
      <c r="I9" s="31">
        <v>946.90446809289415</v>
      </c>
      <c r="J9" s="31">
        <v>946.48924073949354</v>
      </c>
      <c r="K9" s="31">
        <v>950.90226027868925</v>
      </c>
      <c r="L9" s="31">
        <v>952.99495948578158</v>
      </c>
      <c r="M9" s="31">
        <v>956.4528950961901</v>
      </c>
      <c r="O9" s="27" t="s">
        <v>80</v>
      </c>
      <c r="P9" s="31"/>
      <c r="Q9" s="31">
        <v>890.17753523613067</v>
      </c>
      <c r="R9" s="31">
        <v>1001.6678187630532</v>
      </c>
      <c r="S9" s="31">
        <v>1079.8211325770999</v>
      </c>
      <c r="T9" s="31">
        <v>1036.5713385158328</v>
      </c>
      <c r="U9" s="31">
        <v>1023.4085185345638</v>
      </c>
      <c r="V9" s="31">
        <v>981.83106583588608</v>
      </c>
      <c r="W9" s="31">
        <v>922.13605427507218</v>
      </c>
      <c r="X9" s="31">
        <v>874.18750577733522</v>
      </c>
      <c r="Y9" s="31">
        <v>766.94252562595773</v>
      </c>
      <c r="Z9" s="31">
        <v>601.09260059830365</v>
      </c>
      <c r="AA9" s="31">
        <v>465.55721373360393</v>
      </c>
      <c r="AB9" s="31">
        <v>358.16964963389609</v>
      </c>
    </row>
    <row r="10" spans="2:28" ht="15.75" thickBot="1">
      <c r="B10" s="28" t="s">
        <v>81</v>
      </c>
      <c r="C10" s="29">
        <v>3992.1512082457602</v>
      </c>
      <c r="D10" s="29">
        <v>4127.1337144571989</v>
      </c>
      <c r="E10" s="29">
        <v>3782.3308397559063</v>
      </c>
      <c r="F10" s="29">
        <v>3524.0732326933912</v>
      </c>
      <c r="G10" s="29">
        <v>3281.2982372911879</v>
      </c>
      <c r="H10" s="29">
        <v>3099.3836259949931</v>
      </c>
      <c r="I10" s="29">
        <v>2844.278545516855</v>
      </c>
      <c r="J10" s="29">
        <v>2647.190134426191</v>
      </c>
      <c r="K10" s="29">
        <v>2498.8298187472064</v>
      </c>
      <c r="L10" s="29">
        <v>2341.5908968117587</v>
      </c>
      <c r="M10" s="29">
        <v>2175.4882451996109</v>
      </c>
      <c r="O10" s="28" t="s">
        <v>81</v>
      </c>
      <c r="P10" s="29">
        <v>4159.9854456995226</v>
      </c>
      <c r="Q10" s="29">
        <v>4000.9860363341541</v>
      </c>
      <c r="R10" s="29">
        <v>3992.1512082457602</v>
      </c>
      <c r="S10" s="29">
        <v>4127.1337144571989</v>
      </c>
      <c r="T10" s="29">
        <v>3782.3308397559063</v>
      </c>
      <c r="U10" s="29">
        <v>3524.0732321730493</v>
      </c>
      <c r="V10" s="29">
        <v>3283.5841340241363</v>
      </c>
      <c r="W10" s="29">
        <v>2950.7863366703123</v>
      </c>
      <c r="X10" s="29">
        <v>2509.5505464385233</v>
      </c>
      <c r="Y10" s="29">
        <v>1993.4145380118689</v>
      </c>
      <c r="Z10" s="29">
        <v>1340.9193610644265</v>
      </c>
      <c r="AA10" s="29">
        <v>987.01329566495554</v>
      </c>
      <c r="AB10" s="29">
        <v>688.82340667131348</v>
      </c>
    </row>
    <row r="11" spans="2:28">
      <c r="B11" s="33" t="s">
        <v>82</v>
      </c>
      <c r="C11" s="25">
        <v>0</v>
      </c>
      <c r="D11" s="25">
        <v>2120.1320031875207</v>
      </c>
      <c r="E11" s="25">
        <v>1864.005758301525</v>
      </c>
      <c r="F11" s="25">
        <v>1700.7851917951252</v>
      </c>
      <c r="G11" s="25">
        <v>1565.0773069964705</v>
      </c>
      <c r="H11" s="25">
        <v>1441.8122973063589</v>
      </c>
      <c r="I11" s="8">
        <v>1250.5606479313021</v>
      </c>
      <c r="J11" s="25">
        <v>1088.8334336973553</v>
      </c>
      <c r="K11" s="25">
        <v>961.0211172417645</v>
      </c>
      <c r="L11" s="25">
        <v>812.90679841312124</v>
      </c>
      <c r="M11" s="8">
        <v>654.57003534299395</v>
      </c>
      <c r="O11" s="33" t="s">
        <v>82</v>
      </c>
      <c r="P11" s="25"/>
      <c r="Q11" s="25">
        <v>0</v>
      </c>
      <c r="R11" s="25">
        <v>0</v>
      </c>
      <c r="S11" s="25">
        <v>2120.1320031875207</v>
      </c>
      <c r="T11" s="25">
        <v>1864.005758301525</v>
      </c>
      <c r="U11" s="25">
        <v>1700.7383121273122</v>
      </c>
      <c r="V11" s="25">
        <v>1568.6430724346458</v>
      </c>
      <c r="W11" s="25">
        <v>1380.3326915505431</v>
      </c>
      <c r="X11" s="8">
        <v>1104.3044374004996</v>
      </c>
      <c r="Y11" s="25">
        <v>771.58068583269369</v>
      </c>
      <c r="Z11" s="25">
        <v>365.46386016311652</v>
      </c>
      <c r="AA11" s="25">
        <v>264.20943423854203</v>
      </c>
      <c r="AB11" s="25">
        <v>187.93460948660626</v>
      </c>
    </row>
    <row r="12" spans="2:28">
      <c r="B12" s="33" t="s">
        <v>83</v>
      </c>
      <c r="C12" s="30">
        <v>0</v>
      </c>
      <c r="D12" s="30">
        <v>150.18149130126554</v>
      </c>
      <c r="E12" s="30">
        <v>147.98796148210172</v>
      </c>
      <c r="F12" s="30">
        <v>160.23250778740265</v>
      </c>
      <c r="G12" s="30">
        <v>169.81020456392406</v>
      </c>
      <c r="H12" s="30">
        <v>175.23536615526004</v>
      </c>
      <c r="I12" s="34">
        <v>173.16689383059628</v>
      </c>
      <c r="J12" s="30">
        <v>175.47687817792612</v>
      </c>
      <c r="K12" s="30">
        <v>181.42312128640788</v>
      </c>
      <c r="L12" s="30">
        <v>186.76425864462325</v>
      </c>
      <c r="M12" s="34">
        <v>193.14602756426748</v>
      </c>
      <c r="O12" s="33" t="s">
        <v>83</v>
      </c>
      <c r="P12" s="30"/>
      <c r="Q12" s="30">
        <v>0</v>
      </c>
      <c r="R12" s="30">
        <v>0</v>
      </c>
      <c r="S12" s="30">
        <v>150.18149130126554</v>
      </c>
      <c r="T12" s="30">
        <v>147.98796148210172</v>
      </c>
      <c r="U12" s="30">
        <v>160.23250778740265</v>
      </c>
      <c r="V12" s="30">
        <v>169.65176201213544</v>
      </c>
      <c r="W12" s="30">
        <v>174.68535268054922</v>
      </c>
      <c r="X12" s="34">
        <v>172.39521369922389</v>
      </c>
      <c r="Y12" s="30">
        <v>160.48349089763408</v>
      </c>
      <c r="Z12" s="30">
        <v>145.56286023811489</v>
      </c>
      <c r="AA12" s="30">
        <v>125.63361529361974</v>
      </c>
      <c r="AB12" s="30">
        <v>99.957114291419586</v>
      </c>
    </row>
    <row r="13" spans="2:28" ht="15.75" thickBot="1">
      <c r="B13" s="32" t="s">
        <v>84</v>
      </c>
      <c r="C13" s="31">
        <v>3992.1512082457602</v>
      </c>
      <c r="D13" s="31">
        <v>1856.8202199684126</v>
      </c>
      <c r="E13" s="31">
        <v>1770.3371199722794</v>
      </c>
      <c r="F13" s="31">
        <v>1663.0555331108633</v>
      </c>
      <c r="G13" s="31">
        <v>1546.4107257307933</v>
      </c>
      <c r="H13" s="31">
        <v>1482.3359625333742</v>
      </c>
      <c r="I13" s="9">
        <v>1420.5510037549566</v>
      </c>
      <c r="J13" s="31">
        <v>1382.8798225509095</v>
      </c>
      <c r="K13" s="31">
        <v>1356.3855802190342</v>
      </c>
      <c r="L13" s="31">
        <v>1341.9198397540144</v>
      </c>
      <c r="M13" s="9">
        <v>1327.7721822923495</v>
      </c>
      <c r="O13" s="32" t="s">
        <v>84</v>
      </c>
      <c r="P13" s="31"/>
      <c r="Q13" s="31">
        <v>4000.9860363341541</v>
      </c>
      <c r="R13" s="31">
        <v>3992.1512082457602</v>
      </c>
      <c r="S13" s="31">
        <v>1856.8202199684126</v>
      </c>
      <c r="T13" s="31">
        <v>1770.3371199722794</v>
      </c>
      <c r="U13" s="31">
        <v>1663.1024122583344</v>
      </c>
      <c r="V13" s="31">
        <v>1545.2892995773552</v>
      </c>
      <c r="W13" s="31">
        <v>1395.76829243922</v>
      </c>
      <c r="X13" s="9">
        <v>1232.8508953387998</v>
      </c>
      <c r="Y13" s="31">
        <v>1061.3503612815412</v>
      </c>
      <c r="Z13" s="31">
        <v>829.89264066319504</v>
      </c>
      <c r="AA13" s="31">
        <v>597.17024613279375</v>
      </c>
      <c r="AB13" s="31">
        <v>400.93168289328759</v>
      </c>
    </row>
    <row r="14" spans="2:28" ht="15.75" thickBot="1">
      <c r="X14" s="50">
        <f>X13/S13</f>
        <v>0.66395813772416401</v>
      </c>
    </row>
    <row r="15" spans="2:28" ht="15.75" thickBot="1">
      <c r="B15" s="165" t="s">
        <v>85</v>
      </c>
      <c r="C15" s="165"/>
      <c r="D15" s="165"/>
      <c r="E15" s="165"/>
      <c r="F15" s="165"/>
      <c r="G15" s="165"/>
      <c r="H15" s="165"/>
      <c r="I15" s="165"/>
      <c r="J15" s="165"/>
      <c r="K15" s="165"/>
      <c r="L15" s="165"/>
      <c r="M15" s="165"/>
      <c r="O15" s="165" t="s">
        <v>85</v>
      </c>
      <c r="P15" s="165"/>
      <c r="Q15" s="165"/>
      <c r="R15" s="165"/>
      <c r="S15" s="165"/>
      <c r="T15" s="165"/>
      <c r="U15" s="165"/>
      <c r="V15" s="165"/>
      <c r="W15" s="165"/>
      <c r="X15" s="165"/>
      <c r="Y15" s="165"/>
      <c r="Z15" s="165"/>
      <c r="AA15" s="165"/>
      <c r="AB15" s="165"/>
    </row>
    <row r="16" spans="2:28" ht="15.75" thickBot="1">
      <c r="B16" s="20" t="s">
        <v>74</v>
      </c>
      <c r="C16" s="21">
        <v>2000</v>
      </c>
      <c r="D16" s="21">
        <v>2005</v>
      </c>
      <c r="E16" s="21">
        <v>2010</v>
      </c>
      <c r="F16" s="21">
        <v>2015</v>
      </c>
      <c r="G16" s="21">
        <v>2020</v>
      </c>
      <c r="H16" s="21">
        <v>2025</v>
      </c>
      <c r="I16" s="21">
        <v>2030</v>
      </c>
      <c r="J16" s="21">
        <v>2035</v>
      </c>
      <c r="K16" s="21">
        <v>2040</v>
      </c>
      <c r="L16" s="21">
        <v>2045</v>
      </c>
      <c r="M16" s="21">
        <v>2050</v>
      </c>
      <c r="O16" s="20" t="s">
        <v>88</v>
      </c>
      <c r="P16" s="21">
        <v>1990</v>
      </c>
      <c r="Q16" s="21">
        <v>1995</v>
      </c>
      <c r="R16" s="21">
        <v>2000</v>
      </c>
      <c r="S16" s="21">
        <v>2005</v>
      </c>
      <c r="T16" s="21">
        <v>2010</v>
      </c>
      <c r="U16" s="21">
        <v>2015</v>
      </c>
      <c r="V16" s="21">
        <v>2020</v>
      </c>
      <c r="W16" s="21">
        <v>2025</v>
      </c>
      <c r="X16" s="21">
        <v>2030</v>
      </c>
      <c r="Y16" s="21">
        <v>2035</v>
      </c>
      <c r="Z16" s="21">
        <v>2040</v>
      </c>
      <c r="AA16" s="21">
        <v>2045</v>
      </c>
      <c r="AB16" s="21">
        <v>2050</v>
      </c>
    </row>
    <row r="17" spans="2:28">
      <c r="B17" s="36" t="s">
        <v>85</v>
      </c>
      <c r="C17" s="40">
        <v>4269.4292290959002</v>
      </c>
      <c r="D17" s="40">
        <v>4409.5784876908929</v>
      </c>
      <c r="E17" s="40">
        <v>4019.614393747881</v>
      </c>
      <c r="F17" s="40">
        <v>3762.8424289247264</v>
      </c>
      <c r="G17" s="40">
        <v>3529.2027755477634</v>
      </c>
      <c r="H17" s="40">
        <v>3343.9940911408771</v>
      </c>
      <c r="I17" s="40">
        <v>3068.0656107959835</v>
      </c>
      <c r="J17" s="40">
        <v>2862.200736605243</v>
      </c>
      <c r="K17" s="40">
        <v>2706.2393005480194</v>
      </c>
      <c r="L17" s="40">
        <v>2541.9421692133847</v>
      </c>
      <c r="M17" s="40">
        <v>2352.5565251268449</v>
      </c>
      <c r="O17" s="36" t="s">
        <v>85</v>
      </c>
      <c r="P17" s="40">
        <v>4537.9236515629809</v>
      </c>
      <c r="Q17" s="44">
        <v>4281.8968192836901</v>
      </c>
      <c r="R17" s="40">
        <v>4269.4292290959002</v>
      </c>
      <c r="S17" s="40">
        <v>4409.5784876908929</v>
      </c>
      <c r="T17" s="40">
        <v>4019.614393747881</v>
      </c>
      <c r="U17" s="40">
        <v>3762.8424283984068</v>
      </c>
      <c r="V17" s="40">
        <v>3531.5434326103314</v>
      </c>
      <c r="W17" s="40">
        <v>3194.1077369531572</v>
      </c>
      <c r="X17" s="40">
        <v>2745.3163523053013</v>
      </c>
      <c r="Y17" s="40">
        <v>2193.5179467911985</v>
      </c>
      <c r="Z17" s="40">
        <v>1450.5138619246777</v>
      </c>
      <c r="AA17" s="40">
        <v>1052.0281233169721</v>
      </c>
      <c r="AB17" s="40">
        <v>729.94602230494399</v>
      </c>
    </row>
    <row r="18" spans="2:28">
      <c r="B18" s="37" t="s">
        <v>86</v>
      </c>
      <c r="C18" s="40">
        <v>3992.1512082457607</v>
      </c>
      <c r="D18" s="40">
        <v>4127.1337144571989</v>
      </c>
      <c r="E18" s="40">
        <v>3782.3308397559053</v>
      </c>
      <c r="F18" s="40">
        <v>3524.0732326933912</v>
      </c>
      <c r="G18" s="40">
        <v>3281.2982372911883</v>
      </c>
      <c r="H18" s="40">
        <v>3099.3836259949931</v>
      </c>
      <c r="I18" s="40">
        <v>2844.2785455168555</v>
      </c>
      <c r="J18" s="40">
        <v>2647.190134426191</v>
      </c>
      <c r="K18" s="40">
        <v>2498.829818747206</v>
      </c>
      <c r="L18" s="40">
        <v>2341.5908968117587</v>
      </c>
      <c r="M18" s="40">
        <v>2175.4882451996104</v>
      </c>
      <c r="O18" s="37" t="s">
        <v>86</v>
      </c>
      <c r="P18" s="40">
        <v>4159.9854456995226</v>
      </c>
      <c r="Q18" s="44">
        <v>4000.986036334155</v>
      </c>
      <c r="R18" s="40">
        <v>3992.1512082457607</v>
      </c>
      <c r="S18" s="40">
        <v>4127.1337144571989</v>
      </c>
      <c r="T18" s="40">
        <v>3782.3308397559053</v>
      </c>
      <c r="U18" s="40">
        <v>3524.0732321730493</v>
      </c>
      <c r="V18" s="40">
        <v>3283.5841340241354</v>
      </c>
      <c r="W18" s="40">
        <v>2950.7863366703123</v>
      </c>
      <c r="X18" s="40">
        <v>2509.5505464385233</v>
      </c>
      <c r="Y18" s="40">
        <v>1993.4145380118696</v>
      </c>
      <c r="Z18" s="40">
        <v>1340.9193610644265</v>
      </c>
      <c r="AA18" s="40">
        <v>987.01329566495542</v>
      </c>
      <c r="AB18" s="40">
        <v>688.82340667131336</v>
      </c>
    </row>
    <row r="19" spans="2:28" ht="15.75" thickBot="1">
      <c r="B19" s="38" t="s">
        <v>87</v>
      </c>
      <c r="C19" s="39">
        <v>277.27802085013832</v>
      </c>
      <c r="D19" s="39">
        <v>282.44477323369563</v>
      </c>
      <c r="E19" s="39">
        <v>237.28355399197525</v>
      </c>
      <c r="F19" s="39">
        <v>238.76919623133421</v>
      </c>
      <c r="G19" s="39">
        <v>247.90453825657457</v>
      </c>
      <c r="H19" s="39">
        <v>244.61046514588469</v>
      </c>
      <c r="I19" s="39">
        <v>223.78706527912769</v>
      </c>
      <c r="J19" s="39">
        <v>215.01060217905348</v>
      </c>
      <c r="K19" s="39">
        <v>207.40948180081301</v>
      </c>
      <c r="L19" s="39">
        <v>200.35127240162544</v>
      </c>
      <c r="M19" s="39">
        <v>177.06827992723373</v>
      </c>
      <c r="O19" s="38" t="s">
        <v>87</v>
      </c>
      <c r="P19" s="39">
        <v>377.93820586345828</v>
      </c>
      <c r="Q19" s="45">
        <v>280.91078294953564</v>
      </c>
      <c r="R19" s="39">
        <v>277.27802085013832</v>
      </c>
      <c r="S19" s="39">
        <v>282.44477323369563</v>
      </c>
      <c r="T19" s="39">
        <v>237.28355399197525</v>
      </c>
      <c r="U19" s="39">
        <v>238.76919622535689</v>
      </c>
      <c r="V19" s="39">
        <v>247.95929858619633</v>
      </c>
      <c r="W19" s="39">
        <v>243.3214002828451</v>
      </c>
      <c r="X19" s="39">
        <v>235.76580586677821</v>
      </c>
      <c r="Y19" s="39">
        <v>200.10340877932913</v>
      </c>
      <c r="Z19" s="39">
        <v>109.59450086025136</v>
      </c>
      <c r="AA19" s="39">
        <v>65.014827652016436</v>
      </c>
      <c r="AB19" s="39">
        <v>41.122615633630346</v>
      </c>
    </row>
    <row r="20" spans="2:28">
      <c r="B20" s="33" t="s">
        <v>82</v>
      </c>
      <c r="C20" s="25">
        <v>0</v>
      </c>
      <c r="D20" s="25">
        <v>2296.0969838920128</v>
      </c>
      <c r="E20" s="25">
        <v>2008.0932014056698</v>
      </c>
      <c r="F20" s="25">
        <v>1844.3048275242663</v>
      </c>
      <c r="G20" s="25">
        <v>1712.712911033276</v>
      </c>
      <c r="H20" s="25">
        <v>1588.7742810323496</v>
      </c>
      <c r="I20" s="25">
        <v>1380.7583493886025</v>
      </c>
      <c r="J20" s="25">
        <v>1214.2869026304736</v>
      </c>
      <c r="K20" s="25">
        <v>1082.2270303700022</v>
      </c>
      <c r="L20" s="25">
        <v>931.70492762189258</v>
      </c>
      <c r="M20" s="25">
        <v>756.26919047779973</v>
      </c>
      <c r="O20" s="33" t="s">
        <v>82</v>
      </c>
      <c r="P20" s="25">
        <v>0</v>
      </c>
      <c r="Q20" s="42">
        <v>0</v>
      </c>
      <c r="R20" s="25">
        <v>0</v>
      </c>
      <c r="S20" s="25">
        <v>2296.0969838920128</v>
      </c>
      <c r="T20" s="25">
        <v>2008.0932014056698</v>
      </c>
      <c r="U20" s="25">
        <v>1844.2579478564539</v>
      </c>
      <c r="V20" s="25">
        <v>1716.2786764714504</v>
      </c>
      <c r="W20" s="25">
        <v>1526.9584271872357</v>
      </c>
      <c r="X20" s="25">
        <v>1246.6741438361273</v>
      </c>
      <c r="Y20" s="25">
        <v>892.5798009898914</v>
      </c>
      <c r="Z20" s="25">
        <v>413.78066560749096</v>
      </c>
      <c r="AA20" s="25">
        <v>286.93251894932962</v>
      </c>
      <c r="AB20" s="25">
        <v>203.73075068707777</v>
      </c>
    </row>
    <row r="21" spans="2:28">
      <c r="B21" s="33" t="s">
        <v>83</v>
      </c>
      <c r="C21" s="30">
        <v>0</v>
      </c>
      <c r="D21" s="30">
        <v>150.18149130126554</v>
      </c>
      <c r="E21" s="30">
        <v>147.98796148210172</v>
      </c>
      <c r="F21" s="30">
        <v>160.23250778740265</v>
      </c>
      <c r="G21" s="30">
        <v>169.81020456392406</v>
      </c>
      <c r="H21" s="30">
        <v>175.23536615526004</v>
      </c>
      <c r="I21" s="30">
        <v>173.16689383059628</v>
      </c>
      <c r="J21" s="30">
        <v>175.47687817792612</v>
      </c>
      <c r="K21" s="30">
        <v>181.42312128640788</v>
      </c>
      <c r="L21" s="30">
        <v>186.76425864462325</v>
      </c>
      <c r="M21" s="30">
        <v>193.14602756426748</v>
      </c>
      <c r="O21" s="33" t="s">
        <v>83</v>
      </c>
      <c r="P21" s="30">
        <v>0</v>
      </c>
      <c r="Q21" s="41">
        <v>0</v>
      </c>
      <c r="R21" s="30">
        <v>0</v>
      </c>
      <c r="S21" s="30">
        <v>150.18149130126554</v>
      </c>
      <c r="T21" s="30">
        <v>147.98796148210172</v>
      </c>
      <c r="U21" s="30">
        <v>160.23250778740265</v>
      </c>
      <c r="V21" s="30">
        <v>169.65176201213544</v>
      </c>
      <c r="W21" s="30">
        <v>174.68535268054922</v>
      </c>
      <c r="X21" s="30">
        <v>172.39521369922389</v>
      </c>
      <c r="Y21" s="30">
        <v>160.48349089763408</v>
      </c>
      <c r="Z21" s="30">
        <v>145.56286023811489</v>
      </c>
      <c r="AA21" s="30">
        <v>125.63361529361974</v>
      </c>
      <c r="AB21" s="30">
        <v>99.957114291419586</v>
      </c>
    </row>
    <row r="22" spans="2:28" ht="15.75" thickBot="1">
      <c r="B22" s="32" t="s">
        <v>84</v>
      </c>
      <c r="C22" s="31">
        <v>4269.4292290959002</v>
      </c>
      <c r="D22" s="31">
        <v>1963.3000124976154</v>
      </c>
      <c r="E22" s="31">
        <v>1863.5332308601098</v>
      </c>
      <c r="F22" s="31">
        <v>1758.3050936130562</v>
      </c>
      <c r="G22" s="31">
        <v>1646.6796599505628</v>
      </c>
      <c r="H22" s="31">
        <v>1579.9844439532681</v>
      </c>
      <c r="I22" s="31">
        <v>1514.140367576784</v>
      </c>
      <c r="J22" s="31">
        <v>1472.4369557968448</v>
      </c>
      <c r="K22" s="31">
        <v>1442.5891488916088</v>
      </c>
      <c r="L22" s="31">
        <v>1423.4729829468686</v>
      </c>
      <c r="M22" s="31">
        <v>1403.1413070847771</v>
      </c>
      <c r="O22" s="32" t="s">
        <v>84</v>
      </c>
      <c r="P22" s="31">
        <v>4537.9236515629809</v>
      </c>
      <c r="Q22" s="43">
        <v>4281.8968192836901</v>
      </c>
      <c r="R22" s="31">
        <v>4269.4292290959002</v>
      </c>
      <c r="S22" s="51">
        <v>1963.3000124976154</v>
      </c>
      <c r="T22" s="31">
        <v>1863.5332308601098</v>
      </c>
      <c r="U22" s="31">
        <v>1758.3519727545493</v>
      </c>
      <c r="V22" s="31">
        <v>1645.6129941267461</v>
      </c>
      <c r="W22" s="31">
        <v>1492.4639570853726</v>
      </c>
      <c r="X22" s="51">
        <v>1326.2469947699503</v>
      </c>
      <c r="Y22" s="31">
        <v>1140.4546549036729</v>
      </c>
      <c r="Z22" s="31">
        <v>891.17033607907217</v>
      </c>
      <c r="AA22" s="31">
        <v>639.46198907402254</v>
      </c>
      <c r="AB22" s="31">
        <v>426.25815732644639</v>
      </c>
    </row>
    <row r="23" spans="2:28">
      <c r="X23" s="50">
        <f>X22/S22</f>
        <v>0.67551927180133975</v>
      </c>
    </row>
    <row r="24" spans="2:28" ht="15.75" thickBot="1"/>
    <row r="25" spans="2:28" ht="15.75" thickBot="1">
      <c r="C25" s="21">
        <v>2000</v>
      </c>
      <c r="D25" s="21">
        <v>2005</v>
      </c>
      <c r="E25" s="21">
        <v>2010</v>
      </c>
      <c r="F25" s="21">
        <v>2015</v>
      </c>
      <c r="G25" s="21">
        <v>2020</v>
      </c>
      <c r="H25" s="21">
        <v>2025</v>
      </c>
      <c r="I25" s="21">
        <v>2030</v>
      </c>
      <c r="J25" s="21">
        <v>2035</v>
      </c>
      <c r="K25" s="21">
        <v>2040</v>
      </c>
      <c r="L25" s="21">
        <v>2045</v>
      </c>
      <c r="M25" s="21">
        <v>2050</v>
      </c>
      <c r="O25" s="113"/>
      <c r="P25" s="21">
        <v>2000</v>
      </c>
      <c r="Q25" s="21">
        <v>2005</v>
      </c>
      <c r="R25" s="21">
        <v>2010</v>
      </c>
      <c r="S25" s="21">
        <v>2015</v>
      </c>
      <c r="T25" s="21">
        <v>2020</v>
      </c>
      <c r="U25" s="21">
        <v>2025</v>
      </c>
      <c r="V25" s="21">
        <v>2030</v>
      </c>
      <c r="W25" s="21">
        <v>2035</v>
      </c>
      <c r="X25" s="21">
        <v>2040</v>
      </c>
      <c r="Y25" s="21">
        <v>2045</v>
      </c>
      <c r="Z25" s="21">
        <v>2050</v>
      </c>
    </row>
    <row r="26" spans="2:28">
      <c r="B26" t="s">
        <v>363</v>
      </c>
      <c r="D26" s="49">
        <f>D10-D17</f>
        <v>-282.44477323369392</v>
      </c>
      <c r="E26" s="49">
        <f t="shared" ref="E26:M26" si="0">E10-E17</f>
        <v>-237.28355399197471</v>
      </c>
      <c r="F26" s="49">
        <f t="shared" si="0"/>
        <v>-238.76919623133517</v>
      </c>
      <c r="G26" s="49">
        <f t="shared" si="0"/>
        <v>-247.90453825657551</v>
      </c>
      <c r="H26" s="49">
        <f t="shared" si="0"/>
        <v>-244.61046514588406</v>
      </c>
      <c r="I26" s="49">
        <f t="shared" si="0"/>
        <v>-223.78706527912846</v>
      </c>
      <c r="J26" s="49">
        <f t="shared" si="0"/>
        <v>-215.01060217905206</v>
      </c>
      <c r="K26" s="49">
        <f t="shared" si="0"/>
        <v>-207.40948180081296</v>
      </c>
      <c r="L26" s="49">
        <f t="shared" si="0"/>
        <v>-200.35127240162592</v>
      </c>
      <c r="M26" s="49">
        <f t="shared" si="0"/>
        <v>-177.06827992723402</v>
      </c>
      <c r="O26" s="113" t="s">
        <v>363</v>
      </c>
      <c r="P26" s="113"/>
      <c r="Q26" s="49">
        <f>Q10-Q17</f>
        <v>-280.91078294953604</v>
      </c>
      <c r="R26" s="49">
        <f t="shared" ref="R26:Z26" si="1">R10-R17</f>
        <v>-277.27802085013991</v>
      </c>
      <c r="S26" s="49">
        <f t="shared" si="1"/>
        <v>-282.44477323369392</v>
      </c>
      <c r="T26" s="49">
        <f t="shared" si="1"/>
        <v>-237.28355399197471</v>
      </c>
      <c r="U26" s="49">
        <f t="shared" si="1"/>
        <v>-238.76919622535752</v>
      </c>
      <c r="V26" s="49">
        <f t="shared" si="1"/>
        <v>-247.95929858619502</v>
      </c>
      <c r="W26" s="49">
        <f t="shared" si="1"/>
        <v>-243.32140028284493</v>
      </c>
      <c r="X26" s="49">
        <f t="shared" si="1"/>
        <v>-235.76580586677801</v>
      </c>
      <c r="Y26" s="49">
        <f t="shared" si="1"/>
        <v>-200.10340877932958</v>
      </c>
      <c r="Z26" s="49">
        <f t="shared" si="1"/>
        <v>-109.59450086025117</v>
      </c>
    </row>
    <row r="27" spans="2:28">
      <c r="B27" s="33" t="s">
        <v>82</v>
      </c>
      <c r="D27" s="49">
        <f>D11-D20</f>
        <v>-175.96498070449206</v>
      </c>
      <c r="E27" s="49">
        <f t="shared" ref="E27:M27" si="2">E11-E20</f>
        <v>-144.08744310414477</v>
      </c>
      <c r="F27" s="49">
        <f t="shared" si="2"/>
        <v>-143.5196357291411</v>
      </c>
      <c r="G27" s="49">
        <f t="shared" si="2"/>
        <v>-147.63560403680549</v>
      </c>
      <c r="H27" s="49">
        <f t="shared" si="2"/>
        <v>-146.96198372599065</v>
      </c>
      <c r="I27" s="49">
        <f t="shared" si="2"/>
        <v>-130.19770145730035</v>
      </c>
      <c r="J27" s="49">
        <f t="shared" si="2"/>
        <v>-125.4534689331183</v>
      </c>
      <c r="K27" s="49">
        <f t="shared" si="2"/>
        <v>-121.20591312823774</v>
      </c>
      <c r="L27" s="49">
        <f t="shared" si="2"/>
        <v>-118.79812920877134</v>
      </c>
      <c r="M27" s="49">
        <f t="shared" si="2"/>
        <v>-101.69915513480578</v>
      </c>
      <c r="O27" s="33" t="s">
        <v>82</v>
      </c>
      <c r="P27" s="113"/>
      <c r="Q27" s="49">
        <f>Q11-Q20</f>
        <v>0</v>
      </c>
      <c r="R27" s="49">
        <f t="shared" ref="R27:Z27" si="3">R11-R20</f>
        <v>0</v>
      </c>
      <c r="S27" s="49">
        <f t="shared" si="3"/>
        <v>-175.96498070449206</v>
      </c>
      <c r="T27" s="49">
        <f t="shared" si="3"/>
        <v>-144.08744310414477</v>
      </c>
      <c r="U27" s="49">
        <f t="shared" si="3"/>
        <v>-143.51963572914178</v>
      </c>
      <c r="V27" s="49">
        <f t="shared" si="3"/>
        <v>-147.63560403680458</v>
      </c>
      <c r="W27" s="49">
        <f t="shared" si="3"/>
        <v>-146.62573563669253</v>
      </c>
      <c r="X27" s="49">
        <f t="shared" si="3"/>
        <v>-142.36970643562768</v>
      </c>
      <c r="Y27" s="49">
        <f t="shared" si="3"/>
        <v>-120.99911515719771</v>
      </c>
      <c r="Z27" s="49">
        <f t="shared" si="3"/>
        <v>-48.316805444374438</v>
      </c>
    </row>
    <row r="28" spans="2:28">
      <c r="B28" s="33" t="s">
        <v>83</v>
      </c>
      <c r="D28" s="49">
        <f t="shared" ref="D28:M29" si="4">D12-D21</f>
        <v>0</v>
      </c>
      <c r="E28" s="49">
        <f t="shared" si="4"/>
        <v>0</v>
      </c>
      <c r="F28" s="49">
        <f t="shared" si="4"/>
        <v>0</v>
      </c>
      <c r="G28" s="49">
        <f t="shared" si="4"/>
        <v>0</v>
      </c>
      <c r="H28" s="49">
        <f t="shared" si="4"/>
        <v>0</v>
      </c>
      <c r="I28" s="49">
        <f t="shared" si="4"/>
        <v>0</v>
      </c>
      <c r="J28" s="49">
        <f t="shared" si="4"/>
        <v>0</v>
      </c>
      <c r="K28" s="49">
        <f t="shared" si="4"/>
        <v>0</v>
      </c>
      <c r="L28" s="49">
        <f t="shared" si="4"/>
        <v>0</v>
      </c>
      <c r="M28" s="49">
        <f t="shared" si="4"/>
        <v>0</v>
      </c>
      <c r="O28" s="33" t="s">
        <v>83</v>
      </c>
      <c r="P28" s="113"/>
      <c r="Q28" s="49">
        <f t="shared" ref="Q28:Z28" si="5">Q12-Q21</f>
        <v>0</v>
      </c>
      <c r="R28" s="49">
        <f t="shared" si="5"/>
        <v>0</v>
      </c>
      <c r="S28" s="49">
        <f t="shared" si="5"/>
        <v>0</v>
      </c>
      <c r="T28" s="49">
        <f t="shared" si="5"/>
        <v>0</v>
      </c>
      <c r="U28" s="49">
        <f t="shared" si="5"/>
        <v>0</v>
      </c>
      <c r="V28" s="49">
        <f t="shared" si="5"/>
        <v>0</v>
      </c>
      <c r="W28" s="49">
        <f t="shared" si="5"/>
        <v>0</v>
      </c>
      <c r="X28" s="49">
        <f t="shared" si="5"/>
        <v>0</v>
      </c>
      <c r="Y28" s="49">
        <f t="shared" si="5"/>
        <v>0</v>
      </c>
      <c r="Z28" s="49">
        <f t="shared" si="5"/>
        <v>0</v>
      </c>
    </row>
    <row r="29" spans="2:28" ht="15.75" thickBot="1">
      <c r="B29" s="32" t="s">
        <v>84</v>
      </c>
      <c r="D29" s="49">
        <f t="shared" si="4"/>
        <v>-106.47979252920277</v>
      </c>
      <c r="E29" s="49">
        <f t="shared" si="4"/>
        <v>-93.1961108878304</v>
      </c>
      <c r="F29" s="49">
        <f t="shared" si="4"/>
        <v>-95.249560502192935</v>
      </c>
      <c r="G29" s="49">
        <f t="shared" si="4"/>
        <v>-100.26893421976956</v>
      </c>
      <c r="H29" s="49">
        <f t="shared" si="4"/>
        <v>-97.648481419893869</v>
      </c>
      <c r="I29" s="49">
        <f t="shared" si="4"/>
        <v>-93.589363821827419</v>
      </c>
      <c r="J29" s="49">
        <f t="shared" si="4"/>
        <v>-89.557133245935347</v>
      </c>
      <c r="K29" s="49">
        <f t="shared" si="4"/>
        <v>-86.203568672574647</v>
      </c>
      <c r="L29" s="49">
        <f t="shared" si="4"/>
        <v>-81.553143192854122</v>
      </c>
      <c r="M29" s="49">
        <f t="shared" si="4"/>
        <v>-75.369124792427556</v>
      </c>
      <c r="O29" s="32" t="s">
        <v>84</v>
      </c>
      <c r="P29" s="113"/>
      <c r="Q29" s="49">
        <f t="shared" ref="Q29:Z29" si="6">Q13-Q22</f>
        <v>-280.91078294953604</v>
      </c>
      <c r="R29" s="49">
        <f t="shared" si="6"/>
        <v>-277.27802085013991</v>
      </c>
      <c r="S29" s="49">
        <f t="shared" si="6"/>
        <v>-106.47979252920277</v>
      </c>
      <c r="T29" s="49">
        <f t="shared" si="6"/>
        <v>-93.1961108878304</v>
      </c>
      <c r="U29" s="49">
        <f t="shared" si="6"/>
        <v>-95.249560496214826</v>
      </c>
      <c r="V29" s="49">
        <f t="shared" si="6"/>
        <v>-100.32369454939089</v>
      </c>
      <c r="W29" s="49">
        <f t="shared" si="6"/>
        <v>-96.695664646152636</v>
      </c>
      <c r="X29" s="49">
        <f t="shared" si="6"/>
        <v>-93.39609943115056</v>
      </c>
      <c r="Y29" s="49">
        <f t="shared" si="6"/>
        <v>-79.104293622131763</v>
      </c>
      <c r="Z29" s="49">
        <f t="shared" si="6"/>
        <v>-61.277695415877133</v>
      </c>
    </row>
    <row r="30" spans="2:28">
      <c r="E30" s="113"/>
      <c r="F30" s="113"/>
      <c r="G30" s="113"/>
      <c r="H30" s="113"/>
      <c r="I30" s="113"/>
      <c r="J30" s="113"/>
      <c r="K30" s="113"/>
      <c r="L30" s="113"/>
      <c r="M30" s="113"/>
    </row>
    <row r="31" spans="2:28">
      <c r="B31" s="33" t="s">
        <v>82</v>
      </c>
      <c r="D31" t="s">
        <v>365</v>
      </c>
    </row>
    <row r="32" spans="2:28">
      <c r="B32" s="33" t="s">
        <v>83</v>
      </c>
    </row>
    <row r="33" spans="2:4" ht="15.75" thickBot="1">
      <c r="B33" s="32" t="s">
        <v>84</v>
      </c>
      <c r="D33" s="113" t="s">
        <v>365</v>
      </c>
    </row>
    <row r="35" spans="2:4">
      <c r="B35" s="113" t="s">
        <v>366</v>
      </c>
    </row>
  </sheetData>
  <mergeCells count="4">
    <mergeCell ref="B2:M2"/>
    <mergeCell ref="B15:M15"/>
    <mergeCell ref="O2:AB2"/>
    <mergeCell ref="O15:A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zoomScaleNormal="100" workbookViewId="0">
      <selection activeCell="P13" sqref="P13"/>
    </sheetView>
  </sheetViews>
  <sheetFormatPr defaultRowHeight="15"/>
  <cols>
    <col min="2" max="2" width="9.140625" style="47"/>
  </cols>
  <sheetData>
    <row r="1" spans="1:14" s="47" customFormat="1"/>
    <row r="2" spans="1:14" s="47" customFormat="1"/>
    <row r="3" spans="1:14">
      <c r="A3" s="46" t="s">
        <v>91</v>
      </c>
      <c r="B3" s="46"/>
      <c r="C3" s="46"/>
      <c r="D3" s="46"/>
      <c r="E3" s="46"/>
      <c r="F3" s="46"/>
      <c r="G3" s="46"/>
      <c r="H3" s="46"/>
      <c r="I3" s="46"/>
      <c r="J3" s="46"/>
      <c r="K3" s="46"/>
      <c r="L3" s="46"/>
      <c r="M3" s="46"/>
      <c r="N3" s="46"/>
    </row>
    <row r="4" spans="1:14">
      <c r="A4" s="46" t="s">
        <v>92</v>
      </c>
      <c r="B4" s="46"/>
      <c r="C4" s="46"/>
      <c r="D4" s="46"/>
      <c r="E4" s="46"/>
      <c r="F4" s="46"/>
      <c r="G4" s="46"/>
      <c r="H4" s="46"/>
      <c r="I4" s="46"/>
      <c r="J4" s="46"/>
      <c r="K4" s="46"/>
      <c r="L4" s="46"/>
      <c r="M4" s="46"/>
      <c r="N4" s="46"/>
    </row>
    <row r="5" spans="1:14">
      <c r="A5" s="46" t="s">
        <v>93</v>
      </c>
      <c r="B5" s="46"/>
      <c r="C5" s="46"/>
      <c r="D5" s="46"/>
      <c r="E5" s="46"/>
      <c r="F5" s="46"/>
      <c r="G5" s="46"/>
      <c r="H5" s="46"/>
      <c r="I5" s="46"/>
      <c r="J5" s="46"/>
      <c r="K5" s="46"/>
      <c r="L5" s="46"/>
      <c r="M5" s="46"/>
      <c r="N5" s="46"/>
    </row>
    <row r="6" spans="1:14">
      <c r="A6" s="46" t="s">
        <v>94</v>
      </c>
      <c r="B6" s="46" t="s">
        <v>148</v>
      </c>
      <c r="C6" s="46" t="s">
        <v>95</v>
      </c>
      <c r="D6" s="46" t="s">
        <v>97</v>
      </c>
      <c r="E6" s="46" t="s">
        <v>98</v>
      </c>
      <c r="F6" s="46" t="s">
        <v>99</v>
      </c>
      <c r="G6" s="46" t="s">
        <v>100</v>
      </c>
      <c r="H6" s="46" t="s">
        <v>101</v>
      </c>
      <c r="I6" s="46" t="s">
        <v>102</v>
      </c>
      <c r="J6" s="46" t="s">
        <v>103</v>
      </c>
      <c r="K6" s="46" t="s">
        <v>104</v>
      </c>
      <c r="L6" s="46" t="s">
        <v>105</v>
      </c>
      <c r="M6" s="46" t="s">
        <v>106</v>
      </c>
      <c r="N6" s="46" t="s">
        <v>90</v>
      </c>
    </row>
    <row r="7" spans="1:14">
      <c r="A7" s="46" t="s">
        <v>120</v>
      </c>
      <c r="B7" s="46" t="str">
        <f>VLOOKUP(A7,Countries!$B$2:$C$37,2,FALSE)</f>
        <v>AT</v>
      </c>
      <c r="C7" s="46">
        <v>56.67</v>
      </c>
      <c r="D7" s="46">
        <v>54.84</v>
      </c>
      <c r="E7" s="46">
        <v>52.75</v>
      </c>
      <c r="F7" s="46">
        <v>52.62</v>
      </c>
      <c r="G7" s="46">
        <v>50.67</v>
      </c>
      <c r="H7" s="46">
        <v>52.06</v>
      </c>
      <c r="I7" s="46">
        <v>50.1</v>
      </c>
      <c r="J7" s="46">
        <v>49.62</v>
      </c>
      <c r="K7" s="46">
        <v>50.1</v>
      </c>
      <c r="L7" s="46">
        <v>48.19</v>
      </c>
      <c r="M7" s="46">
        <v>49.25</v>
      </c>
      <c r="N7" s="46">
        <v>48.8</v>
      </c>
    </row>
    <row r="8" spans="1:14">
      <c r="A8" s="46" t="s">
        <v>108</v>
      </c>
      <c r="B8" s="46" t="str">
        <f>VLOOKUP(A8,Countries!$B$2:$C$37,2,FALSE)</f>
        <v>BE</v>
      </c>
      <c r="C8" s="46">
        <v>78.2</v>
      </c>
      <c r="D8" s="46">
        <v>76.03</v>
      </c>
      <c r="E8" s="46">
        <v>74.150000000000006</v>
      </c>
      <c r="F8" s="46">
        <v>78.959999999999994</v>
      </c>
      <c r="G8" s="46">
        <v>75.27</v>
      </c>
      <c r="H8" s="46">
        <v>78.48</v>
      </c>
      <c r="I8" s="46">
        <v>73.2</v>
      </c>
      <c r="J8" s="46">
        <v>72.33</v>
      </c>
      <c r="K8" s="46">
        <v>74.260000000000005</v>
      </c>
      <c r="L8" s="46">
        <v>70.05</v>
      </c>
      <c r="M8" s="46">
        <v>72.98</v>
      </c>
      <c r="N8" s="46">
        <v>67.680000000000007</v>
      </c>
    </row>
    <row r="9" spans="1:14">
      <c r="A9" s="46" t="s">
        <v>61</v>
      </c>
      <c r="B9" s="46" t="str">
        <f>VLOOKUP(A9,Countries!$B$2:$C$37,2,FALSE)</f>
        <v>BG</v>
      </c>
      <c r="C9" s="46">
        <v>24.57</v>
      </c>
      <c r="D9" s="46">
        <v>25.2</v>
      </c>
      <c r="E9" s="46">
        <v>26.03</v>
      </c>
      <c r="F9" s="46">
        <v>25.78</v>
      </c>
      <c r="G9" s="46">
        <v>23.46</v>
      </c>
      <c r="H9" s="46">
        <v>24.73</v>
      </c>
      <c r="I9" s="46">
        <v>23.57</v>
      </c>
      <c r="J9" s="46">
        <v>23.6</v>
      </c>
      <c r="K9" s="46">
        <v>22.24</v>
      </c>
      <c r="L9" s="46">
        <v>22.9</v>
      </c>
      <c r="M9" s="46">
        <v>23.31</v>
      </c>
      <c r="N9" s="46">
        <v>28.8</v>
      </c>
    </row>
    <row r="10" spans="1:14">
      <c r="A10" s="46" t="s">
        <v>116</v>
      </c>
      <c r="B10" s="46" t="str">
        <f>VLOOKUP(A10,Countries!$B$2:$C$37,2,FALSE)</f>
        <v>CY</v>
      </c>
      <c r="C10" s="46">
        <v>4.18</v>
      </c>
      <c r="D10" s="46">
        <v>4.26</v>
      </c>
      <c r="E10" s="46">
        <v>4.47</v>
      </c>
      <c r="F10" s="46">
        <v>4.46</v>
      </c>
      <c r="G10" s="46">
        <v>4.46</v>
      </c>
      <c r="H10" s="46">
        <v>4.46</v>
      </c>
      <c r="I10" s="46">
        <v>4.6399999999999997</v>
      </c>
      <c r="J10" s="46">
        <v>4.33</v>
      </c>
      <c r="K10" s="46">
        <v>3.94</v>
      </c>
      <c r="L10" s="46">
        <v>3.92</v>
      </c>
      <c r="M10" s="46">
        <v>4.34</v>
      </c>
      <c r="N10" s="46">
        <v>5.94</v>
      </c>
    </row>
    <row r="11" spans="1:14">
      <c r="A11" s="46" t="s">
        <v>63</v>
      </c>
      <c r="B11" s="46" t="str">
        <f>VLOOKUP(A11,Countries!$B$2:$C$37,2,FALSE)</f>
        <v>CZ</v>
      </c>
      <c r="C11" s="46">
        <v>62.55</v>
      </c>
      <c r="D11" s="46">
        <v>63.35</v>
      </c>
      <c r="E11" s="46">
        <v>60.11</v>
      </c>
      <c r="F11" s="46">
        <v>62.88</v>
      </c>
      <c r="G11" s="46">
        <v>61.13</v>
      </c>
      <c r="H11" s="46">
        <v>61.69</v>
      </c>
      <c r="I11" s="46">
        <v>61.69</v>
      </c>
      <c r="J11" s="46">
        <v>62.55</v>
      </c>
      <c r="K11" s="46">
        <v>61.46</v>
      </c>
      <c r="L11" s="46">
        <v>57.62</v>
      </c>
      <c r="M11" s="46">
        <v>56.62</v>
      </c>
      <c r="N11" s="46">
        <v>67.650000000000006</v>
      </c>
    </row>
    <row r="12" spans="1:14">
      <c r="A12" s="46" t="s">
        <v>110</v>
      </c>
      <c r="B12" s="46" t="s">
        <v>41</v>
      </c>
      <c r="C12" s="46">
        <v>468.44</v>
      </c>
      <c r="D12" s="46">
        <v>473.34</v>
      </c>
      <c r="E12" s="46">
        <v>435.09</v>
      </c>
      <c r="F12" s="46">
        <v>463.91</v>
      </c>
      <c r="G12" s="46">
        <v>441.21</v>
      </c>
      <c r="H12" s="46">
        <v>457.84</v>
      </c>
      <c r="I12" s="46">
        <v>443.93</v>
      </c>
      <c r="J12" s="46">
        <v>447.07</v>
      </c>
      <c r="K12" s="46">
        <v>460.2</v>
      </c>
      <c r="L12" s="46">
        <v>436.79</v>
      </c>
      <c r="M12" s="46">
        <v>448.74</v>
      </c>
      <c r="N12" s="46">
        <v>425.65</v>
      </c>
    </row>
    <row r="13" spans="1:14">
      <c r="A13" s="46" t="s">
        <v>109</v>
      </c>
      <c r="B13" s="46" t="str">
        <f>VLOOKUP(A13,Countries!$B$2:$C$37,2,FALSE)</f>
        <v>DK</v>
      </c>
      <c r="C13" s="46">
        <v>40.08</v>
      </c>
      <c r="D13" s="46">
        <v>40.130000000000003</v>
      </c>
      <c r="E13" s="46">
        <v>40.21</v>
      </c>
      <c r="F13" s="46">
        <v>39.43</v>
      </c>
      <c r="G13" s="46">
        <v>37.590000000000003</v>
      </c>
      <c r="H13" s="46">
        <v>38.159999999999997</v>
      </c>
      <c r="I13" s="46">
        <v>36.74</v>
      </c>
      <c r="J13" s="46">
        <v>35.119999999999997</v>
      </c>
      <c r="K13" s="46">
        <v>33.71</v>
      </c>
      <c r="L13" s="46">
        <v>32.64</v>
      </c>
      <c r="M13" s="46">
        <v>32.4</v>
      </c>
      <c r="N13" s="46">
        <v>30.5</v>
      </c>
    </row>
    <row r="14" spans="1:14">
      <c r="A14" s="46" t="s">
        <v>64</v>
      </c>
      <c r="B14" s="46" t="str">
        <f>VLOOKUP(A14,Countries!$B$2:$C$37,2,FALSE)</f>
        <v>EE</v>
      </c>
      <c r="C14" s="46">
        <v>5.43</v>
      </c>
      <c r="D14" s="46">
        <v>5.33</v>
      </c>
      <c r="E14" s="46">
        <v>5.24</v>
      </c>
      <c r="F14" s="46">
        <v>5.83</v>
      </c>
      <c r="G14" s="46">
        <v>5.8</v>
      </c>
      <c r="H14" s="46">
        <v>5.4</v>
      </c>
      <c r="I14" s="46">
        <v>5.67</v>
      </c>
      <c r="J14" s="46">
        <v>5.88</v>
      </c>
      <c r="K14" s="46">
        <v>5.75</v>
      </c>
      <c r="L14" s="46">
        <v>6.08</v>
      </c>
      <c r="M14" s="46">
        <v>5.68</v>
      </c>
      <c r="N14" s="46">
        <v>6.47</v>
      </c>
    </row>
    <row r="15" spans="1:14">
      <c r="A15" s="46" t="s">
        <v>112</v>
      </c>
      <c r="B15" s="46" t="str">
        <f>VLOOKUP(A15,Countries!$B$2:$C$37,2,FALSE)</f>
        <v>EL</v>
      </c>
      <c r="C15" s="46">
        <v>61.78</v>
      </c>
      <c r="D15" s="46">
        <v>59.32</v>
      </c>
      <c r="E15" s="46">
        <v>59.37</v>
      </c>
      <c r="F15" s="46">
        <v>58.63</v>
      </c>
      <c r="G15" s="46">
        <v>58.36</v>
      </c>
      <c r="H15" s="46">
        <v>56.06</v>
      </c>
      <c r="I15" s="46">
        <v>54.16</v>
      </c>
      <c r="J15" s="46">
        <v>48.25</v>
      </c>
      <c r="K15" s="46">
        <v>44.18</v>
      </c>
      <c r="L15" s="46">
        <v>44.41</v>
      </c>
      <c r="M15" s="46">
        <v>44.52</v>
      </c>
      <c r="N15" s="46">
        <v>61.24</v>
      </c>
    </row>
    <row r="16" spans="1:14">
      <c r="A16" s="46" t="s">
        <v>113</v>
      </c>
      <c r="B16" s="46" t="str">
        <f>VLOOKUP(A16,Countries!$B$2:$C$37,2,FALSE)</f>
        <v>ES</v>
      </c>
      <c r="C16" s="46">
        <v>233.84</v>
      </c>
      <c r="D16" s="46">
        <v>237.02</v>
      </c>
      <c r="E16" s="46">
        <v>239.1</v>
      </c>
      <c r="F16" s="46">
        <v>231.56</v>
      </c>
      <c r="G16" s="46">
        <v>221.43</v>
      </c>
      <c r="H16" s="46">
        <v>226.8</v>
      </c>
      <c r="I16" s="46">
        <v>215.73</v>
      </c>
      <c r="J16" s="46">
        <v>208.63</v>
      </c>
      <c r="K16" s="46">
        <v>200.28</v>
      </c>
      <c r="L16" s="46">
        <v>199.76</v>
      </c>
      <c r="M16" s="46">
        <v>199.41</v>
      </c>
      <c r="N16" s="46">
        <v>214.16</v>
      </c>
    </row>
    <row r="17" spans="1:14">
      <c r="A17" s="46" t="s">
        <v>121</v>
      </c>
      <c r="B17" s="46" t="str">
        <f>VLOOKUP(A17,Countries!$B$2:$C$37,2,FALSE)</f>
        <v>FI</v>
      </c>
      <c r="C17" s="46">
        <v>33.6</v>
      </c>
      <c r="D17" s="46">
        <v>33.479999999999997</v>
      </c>
      <c r="E17" s="46">
        <v>34.020000000000003</v>
      </c>
      <c r="F17" s="46">
        <v>32.83</v>
      </c>
      <c r="G17" s="46">
        <v>31.78</v>
      </c>
      <c r="H17" s="46">
        <v>33.71</v>
      </c>
      <c r="I17" s="46">
        <v>32.04</v>
      </c>
      <c r="J17" s="46">
        <v>32.020000000000003</v>
      </c>
      <c r="K17" s="46">
        <v>31.59</v>
      </c>
      <c r="L17" s="46">
        <v>30.15</v>
      </c>
      <c r="M17" s="46">
        <v>29.99</v>
      </c>
      <c r="N17" s="46">
        <v>28.36</v>
      </c>
    </row>
    <row r="18" spans="1:14">
      <c r="A18" s="46" t="s">
        <v>114</v>
      </c>
      <c r="B18" s="46" t="str">
        <f>VLOOKUP(A18,Countries!$B$2:$C$37,2,FALSE)</f>
        <v>FR</v>
      </c>
      <c r="C18" s="46">
        <v>395.59</v>
      </c>
      <c r="D18" s="46">
        <v>389.28</v>
      </c>
      <c r="E18" s="46">
        <v>381.44</v>
      </c>
      <c r="F18" s="46">
        <v>383.13</v>
      </c>
      <c r="G18" s="46">
        <v>376.56</v>
      </c>
      <c r="H18" s="46">
        <v>382.05</v>
      </c>
      <c r="I18" s="46">
        <v>365.04</v>
      </c>
      <c r="J18" s="46">
        <v>368.76</v>
      </c>
      <c r="K18" s="46">
        <v>366.12</v>
      </c>
      <c r="L18" s="46">
        <v>353.53</v>
      </c>
      <c r="M18" s="46">
        <v>365.1</v>
      </c>
      <c r="N18" s="46">
        <v>359.29</v>
      </c>
    </row>
    <row r="19" spans="1:14">
      <c r="A19" s="46" t="s">
        <v>62</v>
      </c>
      <c r="B19" s="46" t="str">
        <f>VLOOKUP(A19,Countries!$B$2:$C$37,2,FALSE)</f>
        <v>HR</v>
      </c>
      <c r="C19" s="46">
        <v>16.82</v>
      </c>
      <c r="D19" s="46">
        <v>17.05</v>
      </c>
      <c r="E19" s="46">
        <v>17.37</v>
      </c>
      <c r="F19" s="46">
        <v>17.12</v>
      </c>
      <c r="G19" s="46">
        <v>16.73</v>
      </c>
      <c r="H19" s="46">
        <v>16.72</v>
      </c>
      <c r="I19" s="46">
        <v>16.420000000000002</v>
      </c>
      <c r="J19" s="46">
        <v>15.43</v>
      </c>
      <c r="K19" s="46">
        <v>15.13</v>
      </c>
      <c r="L19" s="46">
        <v>14.66</v>
      </c>
      <c r="M19" s="46">
        <v>14.11</v>
      </c>
      <c r="N19" s="46">
        <v>20.95</v>
      </c>
    </row>
    <row r="20" spans="1:14">
      <c r="A20" s="46" t="s">
        <v>65</v>
      </c>
      <c r="B20" s="46" t="str">
        <f>VLOOKUP(A20,Countries!$B$2:$C$37,2,FALSE)</f>
        <v>HU</v>
      </c>
      <c r="C20" s="46">
        <v>46.38</v>
      </c>
      <c r="D20" s="46">
        <v>46.22</v>
      </c>
      <c r="E20" s="46">
        <v>43.95</v>
      </c>
      <c r="F20" s="46">
        <v>44.1</v>
      </c>
      <c r="G20" s="46">
        <v>42.67</v>
      </c>
      <c r="H20" s="46">
        <v>42.52</v>
      </c>
      <c r="I20" s="46">
        <v>41.32</v>
      </c>
      <c r="J20" s="46">
        <v>38.82</v>
      </c>
      <c r="K20" s="46">
        <v>38.44</v>
      </c>
      <c r="L20" s="46">
        <v>38.42</v>
      </c>
      <c r="M20" s="46">
        <v>41</v>
      </c>
      <c r="N20" s="46">
        <v>58.22</v>
      </c>
    </row>
    <row r="21" spans="1:14">
      <c r="A21" s="46" t="s">
        <v>111</v>
      </c>
      <c r="B21" s="46" t="str">
        <f>VLOOKUP(A21,Countries!$B$2:$C$37,2,FALSE)</f>
        <v>IE</v>
      </c>
      <c r="C21" s="46">
        <v>47.52</v>
      </c>
      <c r="D21" s="46">
        <v>47.65</v>
      </c>
      <c r="E21" s="46">
        <v>47.4</v>
      </c>
      <c r="F21" s="46">
        <v>47.64</v>
      </c>
      <c r="G21" s="46">
        <v>45.23</v>
      </c>
      <c r="H21" s="46">
        <v>44.53</v>
      </c>
      <c r="I21" s="46">
        <v>42.06</v>
      </c>
      <c r="J21" s="46">
        <v>41.44</v>
      </c>
      <c r="K21" s="46">
        <v>42.21</v>
      </c>
      <c r="L21" s="46">
        <v>41.66</v>
      </c>
      <c r="M21" s="46">
        <v>43.59</v>
      </c>
      <c r="N21" s="46">
        <v>38.97</v>
      </c>
    </row>
    <row r="22" spans="1:14">
      <c r="A22" s="46" t="s">
        <v>115</v>
      </c>
      <c r="B22" s="46" t="str">
        <f>VLOOKUP(A22,Countries!$B$2:$C$37,2,FALSE)</f>
        <v>IT</v>
      </c>
      <c r="C22" s="46">
        <v>329.14</v>
      </c>
      <c r="D22" s="46">
        <v>322.83999999999997</v>
      </c>
      <c r="E22" s="46">
        <v>316.63</v>
      </c>
      <c r="F22" s="46">
        <v>317.74</v>
      </c>
      <c r="G22" s="46">
        <v>303.10000000000002</v>
      </c>
      <c r="H22" s="46">
        <v>306.56</v>
      </c>
      <c r="I22" s="46">
        <v>295.16000000000003</v>
      </c>
      <c r="J22" s="46">
        <v>280.36</v>
      </c>
      <c r="K22" s="46">
        <v>273.35000000000002</v>
      </c>
      <c r="L22" s="46">
        <v>265.27999999999997</v>
      </c>
      <c r="M22" s="46">
        <v>272.42</v>
      </c>
      <c r="N22" s="46">
        <v>294.41000000000003</v>
      </c>
    </row>
    <row r="23" spans="1:14">
      <c r="A23" s="46" t="s">
        <v>67</v>
      </c>
      <c r="B23" s="46" t="str">
        <f>VLOOKUP(A23,Countries!$B$2:$C$37,2,FALSE)</f>
        <v>LT</v>
      </c>
      <c r="C23" s="46">
        <v>10.78</v>
      </c>
      <c r="D23" s="46">
        <v>11.21</v>
      </c>
      <c r="E23" s="46">
        <v>13.15</v>
      </c>
      <c r="F23" s="46">
        <v>12.39</v>
      </c>
      <c r="G23" s="46">
        <v>10.51</v>
      </c>
      <c r="H23" s="46">
        <v>10.87</v>
      </c>
      <c r="I23" s="46">
        <v>11.88</v>
      </c>
      <c r="J23" s="46">
        <v>11.98</v>
      </c>
      <c r="K23" s="46">
        <v>12.45</v>
      </c>
      <c r="L23" s="46">
        <v>12.92</v>
      </c>
      <c r="M23" s="46">
        <v>12.12</v>
      </c>
      <c r="N23" s="46">
        <v>15.46</v>
      </c>
    </row>
    <row r="24" spans="1:14">
      <c r="A24" s="46" t="s">
        <v>117</v>
      </c>
      <c r="B24" s="46" t="str">
        <f>VLOOKUP(A24,Countries!$B$2:$C$37,2,FALSE)</f>
        <v>LU</v>
      </c>
      <c r="C24" s="46">
        <v>10.130000000000001</v>
      </c>
      <c r="D24" s="46">
        <v>9.8699999999999992</v>
      </c>
      <c r="E24" s="46">
        <v>9.44</v>
      </c>
      <c r="F24" s="46">
        <v>9.77</v>
      </c>
      <c r="G24" s="46">
        <v>9.17</v>
      </c>
      <c r="H24" s="46">
        <v>9.68</v>
      </c>
      <c r="I24" s="46">
        <v>9.75</v>
      </c>
      <c r="J24" s="46">
        <v>9.5</v>
      </c>
      <c r="K24" s="46">
        <v>9.3699999999999992</v>
      </c>
      <c r="L24" s="46">
        <v>8.86</v>
      </c>
      <c r="M24" s="46">
        <v>8.8000000000000007</v>
      </c>
      <c r="N24" s="46">
        <v>8.14</v>
      </c>
    </row>
    <row r="25" spans="1:14">
      <c r="A25" s="46" t="s">
        <v>66</v>
      </c>
      <c r="B25" s="46" t="str">
        <f>VLOOKUP(A25,Countries!$B$2:$C$37,2,FALSE)</f>
        <v>LV</v>
      </c>
      <c r="C25" s="46">
        <v>8.52</v>
      </c>
      <c r="D25" s="46">
        <v>8.9499999999999993</v>
      </c>
      <c r="E25" s="46">
        <v>9.51</v>
      </c>
      <c r="F25" s="46">
        <v>9.19</v>
      </c>
      <c r="G25" s="46">
        <v>8.7200000000000006</v>
      </c>
      <c r="H25" s="46">
        <v>9.1199999999999992</v>
      </c>
      <c r="I25" s="46">
        <v>8.67</v>
      </c>
      <c r="J25" s="46">
        <v>8.74</v>
      </c>
      <c r="K25" s="46">
        <v>8.7799999999999994</v>
      </c>
      <c r="L25" s="46">
        <v>9.02</v>
      </c>
      <c r="M25" s="46">
        <v>9.23</v>
      </c>
      <c r="N25" s="46">
        <v>9.9</v>
      </c>
    </row>
    <row r="26" spans="1:14">
      <c r="A26" s="46" t="s">
        <v>118</v>
      </c>
      <c r="B26" s="46" t="str">
        <f>VLOOKUP(A26,Countries!$B$2:$C$37,2,FALSE)</f>
        <v>MT</v>
      </c>
      <c r="C26" s="46">
        <v>1.03</v>
      </c>
      <c r="D26" s="46">
        <v>1.1000000000000001</v>
      </c>
      <c r="E26" s="46">
        <v>1.1499999999999999</v>
      </c>
      <c r="F26" s="46">
        <v>1.1599999999999999</v>
      </c>
      <c r="G26" s="46">
        <v>1.17</v>
      </c>
      <c r="H26" s="46">
        <v>1.22</v>
      </c>
      <c r="I26" s="46">
        <v>1.28</v>
      </c>
      <c r="J26" s="46">
        <v>1.27</v>
      </c>
      <c r="K26" s="46">
        <v>1.25</v>
      </c>
      <c r="L26" s="46">
        <v>1.29</v>
      </c>
      <c r="M26" s="46">
        <v>1.38</v>
      </c>
      <c r="N26" s="46">
        <v>1.1599999999999999</v>
      </c>
    </row>
    <row r="27" spans="1:14">
      <c r="A27" s="46" t="s">
        <v>119</v>
      </c>
      <c r="B27" s="46" t="str">
        <f>VLOOKUP(A27,Countries!$B$2:$C$37,2,FALSE)</f>
        <v>NL</v>
      </c>
      <c r="C27" s="46">
        <v>122.88</v>
      </c>
      <c r="D27" s="46">
        <v>121.6</v>
      </c>
      <c r="E27" s="46">
        <v>118.59</v>
      </c>
      <c r="F27" s="46">
        <v>122.42</v>
      </c>
      <c r="G27" s="46">
        <v>119.2</v>
      </c>
      <c r="H27" s="46">
        <v>127.36</v>
      </c>
      <c r="I27" s="46">
        <v>118.39</v>
      </c>
      <c r="J27" s="46">
        <v>117.31</v>
      </c>
      <c r="K27" s="46">
        <v>108.25</v>
      </c>
      <c r="L27" s="46">
        <v>97.89</v>
      </c>
      <c r="M27" s="46">
        <v>102</v>
      </c>
      <c r="N27" s="46">
        <v>107.04</v>
      </c>
    </row>
    <row r="28" spans="1:14">
      <c r="A28" s="46" t="s">
        <v>68</v>
      </c>
      <c r="B28" s="46" t="str">
        <f>VLOOKUP(A28,Countries!$B$2:$C$37,2,FALSE)</f>
        <v>PL</v>
      </c>
      <c r="C28" s="46">
        <v>176.01</v>
      </c>
      <c r="D28" s="46">
        <v>183.82</v>
      </c>
      <c r="E28" s="46">
        <v>183.5</v>
      </c>
      <c r="F28" s="46">
        <v>186.73</v>
      </c>
      <c r="G28" s="46">
        <v>184.56</v>
      </c>
      <c r="H28" s="46">
        <v>194.73</v>
      </c>
      <c r="I28" s="46">
        <v>191.34</v>
      </c>
      <c r="J28" s="46">
        <v>191.55</v>
      </c>
      <c r="K28" s="46">
        <v>186.1</v>
      </c>
      <c r="L28" s="46">
        <v>181.54</v>
      </c>
      <c r="M28" s="46">
        <v>181.58</v>
      </c>
      <c r="N28" s="46">
        <v>202.34</v>
      </c>
    </row>
    <row r="29" spans="1:14">
      <c r="A29" s="46" t="s">
        <v>69</v>
      </c>
      <c r="B29" s="46" t="str">
        <f>VLOOKUP(A29,Countries!$B$2:$C$37,2,FALSE)</f>
        <v>PT</v>
      </c>
      <c r="C29" s="46">
        <v>49.53</v>
      </c>
      <c r="D29" s="46">
        <v>47.78</v>
      </c>
      <c r="E29" s="46">
        <v>47.11</v>
      </c>
      <c r="F29" s="46">
        <v>46.95</v>
      </c>
      <c r="G29" s="46">
        <v>45.63</v>
      </c>
      <c r="H29" s="46">
        <v>44.92</v>
      </c>
      <c r="I29" s="46">
        <v>42.79</v>
      </c>
      <c r="J29" s="46">
        <v>40.71</v>
      </c>
      <c r="K29" s="46">
        <v>38.61</v>
      </c>
      <c r="L29" s="46">
        <v>38.840000000000003</v>
      </c>
      <c r="M29" s="46">
        <v>38.61</v>
      </c>
      <c r="N29" s="46">
        <v>51.24</v>
      </c>
    </row>
    <row r="30" spans="1:14">
      <c r="A30" s="46" t="s">
        <v>70</v>
      </c>
      <c r="B30" s="46" t="str">
        <f>VLOOKUP(A30,Countries!$B$2:$C$37,2,FALSE)</f>
        <v>RO</v>
      </c>
      <c r="C30" s="46">
        <v>73.03</v>
      </c>
      <c r="D30" s="46">
        <v>74.38</v>
      </c>
      <c r="E30" s="46">
        <v>69.739999999999995</v>
      </c>
      <c r="F30" s="46">
        <v>72.03</v>
      </c>
      <c r="G30" s="46">
        <v>69.400000000000006</v>
      </c>
      <c r="H30" s="46">
        <v>64.23</v>
      </c>
      <c r="I30" s="46">
        <v>65.63</v>
      </c>
      <c r="J30" s="46">
        <v>67.81</v>
      </c>
      <c r="K30" s="46">
        <v>72.72</v>
      </c>
      <c r="L30" s="46">
        <v>72.53</v>
      </c>
      <c r="M30" s="46">
        <v>69.989999999999995</v>
      </c>
      <c r="N30" s="46">
        <v>88.38</v>
      </c>
    </row>
    <row r="31" spans="1:14">
      <c r="A31" s="46" t="s">
        <v>122</v>
      </c>
      <c r="B31" s="46" t="str">
        <f>VLOOKUP(A31,Countries!$B$2:$C$37,2,FALSE)</f>
        <v>SE</v>
      </c>
      <c r="C31" s="46">
        <v>42.9</v>
      </c>
      <c r="D31" s="46">
        <v>42.29</v>
      </c>
      <c r="E31" s="46">
        <v>41.95</v>
      </c>
      <c r="F31" s="46">
        <v>40.369999999999997</v>
      </c>
      <c r="G31" s="46">
        <v>39.200000000000003</v>
      </c>
      <c r="H31" s="46">
        <v>39.86</v>
      </c>
      <c r="I31" s="46">
        <v>38.869999999999997</v>
      </c>
      <c r="J31" s="46">
        <v>37.29</v>
      </c>
      <c r="K31" s="46">
        <v>35.28</v>
      </c>
      <c r="L31" s="46">
        <v>34.520000000000003</v>
      </c>
      <c r="M31" s="46">
        <v>33.979999999999997</v>
      </c>
      <c r="N31" s="46">
        <v>37.200000000000003</v>
      </c>
    </row>
    <row r="32" spans="1:14">
      <c r="A32" s="46" t="s">
        <v>72</v>
      </c>
      <c r="B32" s="46" t="str">
        <f>VLOOKUP(A32,Countries!$B$2:$C$37,2,FALSE)</f>
        <v>SI</v>
      </c>
      <c r="C32" s="46">
        <v>11.85</v>
      </c>
      <c r="D32" s="46">
        <v>11.9</v>
      </c>
      <c r="E32" s="46">
        <v>11.83</v>
      </c>
      <c r="F32" s="46">
        <v>12.71</v>
      </c>
      <c r="G32" s="46">
        <v>11.58</v>
      </c>
      <c r="H32" s="46">
        <v>11.53</v>
      </c>
      <c r="I32" s="46">
        <v>11.68</v>
      </c>
      <c r="J32" s="46">
        <v>11.47</v>
      </c>
      <c r="K32" s="46">
        <v>10.93</v>
      </c>
      <c r="L32" s="46">
        <v>10.47</v>
      </c>
      <c r="M32" s="46">
        <v>10.65</v>
      </c>
      <c r="N32" s="46">
        <v>12.53</v>
      </c>
    </row>
    <row r="33" spans="1:14">
      <c r="A33" s="46" t="s">
        <v>71</v>
      </c>
      <c r="B33" s="46" t="str">
        <f>VLOOKUP(A33,Countries!$B$2:$C$37,2,FALSE)</f>
        <v>SK</v>
      </c>
      <c r="C33" s="46">
        <v>22.3</v>
      </c>
      <c r="D33" s="46">
        <v>21.61</v>
      </c>
      <c r="E33" s="46">
        <v>21.01</v>
      </c>
      <c r="F33" s="46">
        <v>22.77</v>
      </c>
      <c r="G33" s="46">
        <v>22.23</v>
      </c>
      <c r="H33" s="46">
        <v>23.24</v>
      </c>
      <c r="I33" s="46">
        <v>22.32</v>
      </c>
      <c r="J33" s="46">
        <v>21.3</v>
      </c>
      <c r="K33" s="46">
        <v>21.08</v>
      </c>
      <c r="L33" s="46">
        <v>19.78</v>
      </c>
      <c r="M33" s="46">
        <v>20.190000000000001</v>
      </c>
      <c r="N33" s="46">
        <v>26.54</v>
      </c>
    </row>
    <row r="34" spans="1:14">
      <c r="A34" s="46" t="s">
        <v>123</v>
      </c>
      <c r="B34" s="46" t="str">
        <f>VLOOKUP(A34,Countries!$B$2:$C$37,2,FALSE)</f>
        <v>UK</v>
      </c>
      <c r="C34" s="46">
        <v>414.71</v>
      </c>
      <c r="D34" s="46">
        <v>400.87</v>
      </c>
      <c r="E34" s="46">
        <v>391.37</v>
      </c>
      <c r="F34" s="46">
        <v>383.89</v>
      </c>
      <c r="G34" s="46">
        <v>360.25</v>
      </c>
      <c r="H34" s="46">
        <v>369.5</v>
      </c>
      <c r="I34" s="46">
        <v>339.08</v>
      </c>
      <c r="J34" s="46">
        <v>346.22</v>
      </c>
      <c r="K34" s="46">
        <v>339.45</v>
      </c>
      <c r="L34" s="46">
        <v>324.44</v>
      </c>
      <c r="M34" s="46">
        <v>328.65</v>
      </c>
      <c r="N34" s="46">
        <v>327.10000000000002</v>
      </c>
    </row>
    <row r="35" spans="1:14">
      <c r="A35" s="46" t="s">
        <v>107</v>
      </c>
      <c r="B35" s="46"/>
      <c r="C35" s="46">
        <v>2848.43</v>
      </c>
      <c r="D35" s="46">
        <v>2830.7</v>
      </c>
      <c r="E35" s="46">
        <v>2755.65</v>
      </c>
      <c r="F35" s="46">
        <v>2786.99</v>
      </c>
      <c r="G35" s="46">
        <v>2677.07</v>
      </c>
      <c r="H35" s="46">
        <v>2738.04</v>
      </c>
      <c r="I35" s="46">
        <v>2623.15</v>
      </c>
      <c r="J35" s="46">
        <v>2599.35</v>
      </c>
      <c r="K35" s="46">
        <v>2567.1999999999998</v>
      </c>
      <c r="L35" s="46">
        <v>2478.19</v>
      </c>
      <c r="M35" s="46">
        <v>2520.66</v>
      </c>
      <c r="N35" s="46">
        <v>2644.16</v>
      </c>
    </row>
    <row r="36" spans="1:14" s="47" customFormat="1">
      <c r="A36" s="46"/>
      <c r="B36" s="46"/>
      <c r="C36" s="46"/>
      <c r="D36" s="46"/>
      <c r="E36" s="46"/>
      <c r="F36" s="46"/>
      <c r="G36" s="46"/>
      <c r="H36" s="46"/>
      <c r="I36" s="46"/>
      <c r="J36" s="46"/>
      <c r="K36" s="46"/>
      <c r="L36" s="46"/>
      <c r="M36" s="46"/>
      <c r="N36" s="46"/>
    </row>
    <row r="37" spans="1:14">
      <c r="A37" s="46" t="s">
        <v>125</v>
      </c>
      <c r="B37" s="46"/>
      <c r="C37" s="46" t="s">
        <v>96</v>
      </c>
      <c r="D37" s="46"/>
      <c r="E37" s="46"/>
      <c r="F37" s="46"/>
      <c r="G37" s="46"/>
      <c r="H37" s="46"/>
      <c r="I37" s="46"/>
      <c r="J37" s="46"/>
      <c r="K37" s="46"/>
      <c r="L37" s="46"/>
      <c r="M37" s="46"/>
      <c r="N37" s="46"/>
    </row>
    <row r="38" spans="1:14">
      <c r="A38" s="46" t="s">
        <v>128</v>
      </c>
      <c r="B38" s="46"/>
      <c r="C38" s="46" t="s">
        <v>129</v>
      </c>
      <c r="D38" s="46"/>
      <c r="E38" s="46"/>
      <c r="F38" s="46"/>
      <c r="G38" s="46"/>
      <c r="H38" s="46"/>
      <c r="I38" s="46"/>
      <c r="J38" s="46"/>
      <c r="K38" s="46"/>
      <c r="L38" s="46"/>
      <c r="M38" s="46"/>
      <c r="N38" s="46"/>
    </row>
    <row r="39" spans="1:14">
      <c r="A39" s="46" t="s">
        <v>130</v>
      </c>
      <c r="B39" s="46"/>
      <c r="C39" s="46" t="s">
        <v>131</v>
      </c>
      <c r="D39" s="46"/>
      <c r="E39" s="46"/>
      <c r="F39" s="46"/>
      <c r="G39" s="46"/>
      <c r="H39" s="46"/>
      <c r="I39" s="46"/>
      <c r="J39" s="46"/>
      <c r="K39" s="46"/>
      <c r="L39" s="46"/>
      <c r="M39" s="46"/>
      <c r="N39" s="46"/>
    </row>
    <row r="40" spans="1:14">
      <c r="A40" s="46" t="s">
        <v>132</v>
      </c>
      <c r="B40" s="46"/>
      <c r="C40" s="46" t="s">
        <v>133</v>
      </c>
      <c r="D40" s="46"/>
      <c r="E40" s="46"/>
      <c r="F40" s="46"/>
      <c r="G40" s="46"/>
      <c r="H40" s="46"/>
      <c r="I40" s="46"/>
      <c r="J40" s="46"/>
      <c r="K40" s="46"/>
      <c r="L40" s="46"/>
      <c r="M40" s="46"/>
      <c r="N40" s="46"/>
    </row>
    <row r="41" spans="1:14">
      <c r="A41" s="46" t="s">
        <v>134</v>
      </c>
      <c r="B41" s="46"/>
      <c r="C41" s="46" t="s">
        <v>135</v>
      </c>
      <c r="D41" s="46"/>
      <c r="E41" s="46"/>
      <c r="F41" s="46"/>
      <c r="G41" s="46"/>
      <c r="H41" s="46"/>
      <c r="I41" s="46"/>
      <c r="J41" s="46"/>
      <c r="K41" s="46"/>
      <c r="L41" s="46"/>
      <c r="M41" s="46"/>
      <c r="N41" s="46"/>
    </row>
    <row r="42" spans="1:14">
      <c r="A42" s="46" t="s">
        <v>136</v>
      </c>
      <c r="B42" s="46"/>
      <c r="C42" s="46" t="s">
        <v>137</v>
      </c>
      <c r="D42" s="46"/>
      <c r="E42" s="46"/>
      <c r="F42" s="46"/>
      <c r="G42" s="46"/>
      <c r="H42" s="46"/>
      <c r="I42" s="46"/>
      <c r="J42" s="46"/>
      <c r="K42" s="46"/>
      <c r="L42" s="46"/>
      <c r="M42" s="46"/>
      <c r="N42" s="46"/>
    </row>
    <row r="43" spans="1:14">
      <c r="A43" s="46" t="s">
        <v>138</v>
      </c>
      <c r="B43" s="46"/>
      <c r="C43" s="157" t="s">
        <v>139</v>
      </c>
      <c r="D43" s="46"/>
      <c r="E43" s="46"/>
      <c r="F43" s="46"/>
      <c r="G43" s="46"/>
      <c r="H43" s="46"/>
      <c r="I43" s="46"/>
      <c r="J43" s="46"/>
      <c r="K43" s="46"/>
      <c r="L43" s="46"/>
      <c r="M43" s="46"/>
      <c r="N43" s="46"/>
    </row>
    <row r="44" spans="1:14">
      <c r="A44" s="46" t="s">
        <v>140</v>
      </c>
      <c r="B44" s="46"/>
      <c r="C44" s="46" t="s">
        <v>141</v>
      </c>
      <c r="D44" s="46"/>
      <c r="E44" s="46"/>
      <c r="F44" s="46"/>
      <c r="G44" s="46"/>
      <c r="H44" s="46"/>
      <c r="I44" s="46"/>
      <c r="J44" s="46"/>
      <c r="K44" s="46"/>
      <c r="L44" s="46"/>
      <c r="M44" s="46"/>
      <c r="N44" s="4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7"/>
  <sheetViews>
    <sheetView workbookViewId="0">
      <selection activeCell="E13" sqref="E13"/>
    </sheetView>
  </sheetViews>
  <sheetFormatPr defaultRowHeight="15"/>
  <cols>
    <col min="2" max="2" width="15.42578125" bestFit="1" customWidth="1"/>
    <col min="3" max="3" width="18.28515625" bestFit="1" customWidth="1"/>
  </cols>
  <sheetData>
    <row r="1" spans="2:10">
      <c r="B1" s="114" t="s">
        <v>273</v>
      </c>
    </row>
    <row r="2" spans="2:10">
      <c r="B2" s="113" t="s">
        <v>267</v>
      </c>
      <c r="C2" s="113" t="s">
        <v>268</v>
      </c>
      <c r="D2" s="113" t="s">
        <v>269</v>
      </c>
      <c r="F2">
        <v>2005</v>
      </c>
    </row>
    <row r="3" spans="2:10">
      <c r="B3" s="113" t="s">
        <v>120</v>
      </c>
      <c r="C3" s="113" t="s">
        <v>270</v>
      </c>
      <c r="D3" s="115">
        <v>48.8</v>
      </c>
      <c r="F3" s="115">
        <f>VLOOKUP(B3,Eurostat!$A$7:$C$35,3,0)</f>
        <v>56.67</v>
      </c>
      <c r="G3" s="50">
        <f>(D3-F3)/F3</f>
        <v>-0.13887418387153705</v>
      </c>
      <c r="I3" s="113" t="s">
        <v>120</v>
      </c>
      <c r="J3" s="53" t="s">
        <v>274</v>
      </c>
    </row>
    <row r="4" spans="2:10">
      <c r="B4" s="113" t="s">
        <v>108</v>
      </c>
      <c r="C4" s="113" t="s">
        <v>270</v>
      </c>
      <c r="D4" s="115">
        <v>67.680000000000007</v>
      </c>
      <c r="E4" s="50"/>
      <c r="F4" s="115">
        <f>VLOOKUP(B4,Eurostat!$A$7:$C$35,3,0)</f>
        <v>78.2</v>
      </c>
      <c r="G4" s="50">
        <f t="shared" ref="G4:G31" si="0">(D4-F4)/F4</f>
        <v>-0.13452685421994878</v>
      </c>
      <c r="I4" s="113" t="s">
        <v>108</v>
      </c>
      <c r="J4" s="53" t="s">
        <v>275</v>
      </c>
    </row>
    <row r="5" spans="2:10">
      <c r="B5" s="113" t="s">
        <v>61</v>
      </c>
      <c r="C5" s="113" t="s">
        <v>270</v>
      </c>
      <c r="D5" s="115">
        <v>28.8</v>
      </c>
      <c r="E5" s="50"/>
      <c r="F5" s="115">
        <f>VLOOKUP(B5,Eurostat!$A$7:$C$35,3,0)</f>
        <v>24.57</v>
      </c>
      <c r="G5" s="50">
        <f t="shared" si="0"/>
        <v>0.17216117216117219</v>
      </c>
      <c r="I5" t="s">
        <v>61</v>
      </c>
      <c r="J5" s="100">
        <v>0.2</v>
      </c>
    </row>
    <row r="6" spans="2:10">
      <c r="B6" s="113" t="s">
        <v>62</v>
      </c>
      <c r="C6" s="113" t="s">
        <v>270</v>
      </c>
      <c r="D6" s="115">
        <v>20.95</v>
      </c>
      <c r="E6" s="50"/>
      <c r="F6" s="115">
        <f>VLOOKUP(B6,Eurostat!$A$7:$C$35,3,0)</f>
        <v>16.82</v>
      </c>
      <c r="G6" s="50">
        <f t="shared" si="0"/>
        <v>0.24554102259215213</v>
      </c>
    </row>
    <row r="7" spans="2:10">
      <c r="B7" s="113" t="s">
        <v>116</v>
      </c>
      <c r="C7" s="113" t="s">
        <v>270</v>
      </c>
      <c r="D7" s="115">
        <v>5.94</v>
      </c>
      <c r="E7" s="50"/>
      <c r="F7" s="115">
        <f>VLOOKUP(B7,Eurostat!$A$7:$C$35,3,0)</f>
        <v>4.18</v>
      </c>
      <c r="G7" s="50">
        <f t="shared" si="0"/>
        <v>0.42105263157894757</v>
      </c>
      <c r="I7" s="113" t="s">
        <v>116</v>
      </c>
      <c r="J7" s="53" t="s">
        <v>276</v>
      </c>
    </row>
    <row r="8" spans="2:10">
      <c r="B8" s="113" t="s">
        <v>63</v>
      </c>
      <c r="C8" s="113" t="s">
        <v>270</v>
      </c>
      <c r="D8" s="115">
        <v>67.650000000000006</v>
      </c>
      <c r="E8" s="50"/>
      <c r="F8" s="115">
        <f>VLOOKUP(B8,Eurostat!$A$7:$C$35,3,0)</f>
        <v>62.55</v>
      </c>
      <c r="G8" s="50">
        <f t="shared" si="0"/>
        <v>8.1534772182254342E-2</v>
      </c>
      <c r="I8" s="113" t="s">
        <v>63</v>
      </c>
      <c r="J8" s="100">
        <v>0.09</v>
      </c>
    </row>
    <row r="9" spans="2:10">
      <c r="B9" s="113" t="s">
        <v>109</v>
      </c>
      <c r="C9" s="113" t="s">
        <v>270</v>
      </c>
      <c r="D9" s="115">
        <v>30.5</v>
      </c>
      <c r="E9" s="50"/>
      <c r="F9" s="115">
        <f>VLOOKUP(B9,Eurostat!$A$7:$C$35,3,0)</f>
        <v>40.08</v>
      </c>
      <c r="G9" s="50">
        <f t="shared" si="0"/>
        <v>-0.23902195608782431</v>
      </c>
      <c r="I9" s="113" t="s">
        <v>109</v>
      </c>
      <c r="J9" s="53" t="s">
        <v>277</v>
      </c>
    </row>
    <row r="10" spans="2:10">
      <c r="B10" s="113" t="s">
        <v>64</v>
      </c>
      <c r="C10" s="113" t="s">
        <v>270</v>
      </c>
      <c r="D10" s="115">
        <v>6.47</v>
      </c>
      <c r="E10" s="50"/>
      <c r="F10" s="115">
        <f>VLOOKUP(B10,Eurostat!$A$7:$C$35,3,0)</f>
        <v>5.43</v>
      </c>
      <c r="G10" s="109">
        <f t="shared" si="0"/>
        <v>0.19152854511970535</v>
      </c>
      <c r="I10" s="113" t="s">
        <v>64</v>
      </c>
      <c r="J10" s="100">
        <v>0.11</v>
      </c>
    </row>
    <row r="11" spans="2:10">
      <c r="B11" s="113" t="s">
        <v>121</v>
      </c>
      <c r="C11" s="113" t="s">
        <v>270</v>
      </c>
      <c r="D11" s="115">
        <v>28.36</v>
      </c>
      <c r="E11" s="50"/>
      <c r="F11" s="115">
        <f>VLOOKUP(B11,Eurostat!$A$7:$C$35,3,0)</f>
        <v>33.6</v>
      </c>
      <c r="G11" s="50">
        <f t="shared" si="0"/>
        <v>-0.15595238095238101</v>
      </c>
      <c r="I11" s="113" t="s">
        <v>121</v>
      </c>
      <c r="J11" s="53" t="s">
        <v>274</v>
      </c>
    </row>
    <row r="12" spans="2:10">
      <c r="B12" s="113" t="s">
        <v>114</v>
      </c>
      <c r="C12" s="113" t="s">
        <v>270</v>
      </c>
      <c r="D12" s="115">
        <v>359.29</v>
      </c>
      <c r="E12" s="50"/>
      <c r="F12" s="115">
        <f>VLOOKUP(B12,Eurostat!$A$7:$C$35,3,0)</f>
        <v>395.59</v>
      </c>
      <c r="G12" s="109">
        <f t="shared" si="0"/>
        <v>-9.1761672438635852E-2</v>
      </c>
      <c r="I12" t="s">
        <v>114</v>
      </c>
      <c r="J12" s="53" t="s">
        <v>278</v>
      </c>
    </row>
    <row r="13" spans="2:10">
      <c r="B13" s="113" t="s">
        <v>110</v>
      </c>
      <c r="C13" s="113" t="s">
        <v>270</v>
      </c>
      <c r="D13" s="115">
        <v>425.65</v>
      </c>
      <c r="E13" s="50"/>
      <c r="F13" s="115">
        <f>VLOOKUP(B13,Eurostat!$A$7:$C$35,3,0)</f>
        <v>468.44</v>
      </c>
      <c r="G13" s="109">
        <f t="shared" si="0"/>
        <v>-9.1345743318247852E-2</v>
      </c>
      <c r="I13" s="113" t="s">
        <v>110</v>
      </c>
      <c r="J13" s="53" t="s">
        <v>278</v>
      </c>
    </row>
    <row r="14" spans="2:10">
      <c r="B14" s="113" t="s">
        <v>112</v>
      </c>
      <c r="C14" s="113" t="s">
        <v>270</v>
      </c>
      <c r="D14" s="115">
        <v>61.24</v>
      </c>
      <c r="E14" s="50"/>
      <c r="F14" s="115">
        <f>VLOOKUP(B14,Eurostat!$A$7:$C$35,3,0)</f>
        <v>61.78</v>
      </c>
      <c r="G14" s="50">
        <f t="shared" si="0"/>
        <v>-8.7406927808352086E-3</v>
      </c>
      <c r="I14" s="113" t="s">
        <v>112</v>
      </c>
      <c r="J14" s="53" t="s">
        <v>279</v>
      </c>
    </row>
    <row r="15" spans="2:10">
      <c r="B15" s="113" t="s">
        <v>65</v>
      </c>
      <c r="C15" s="113" t="s">
        <v>270</v>
      </c>
      <c r="D15" s="115">
        <v>58.22</v>
      </c>
      <c r="E15" s="50"/>
      <c r="F15" s="115">
        <f>VLOOKUP(B15,Eurostat!$A$7:$C$35,3,0)</f>
        <v>46.38</v>
      </c>
      <c r="G15" s="109">
        <f t="shared" si="0"/>
        <v>0.25528244933160837</v>
      </c>
      <c r="I15" t="s">
        <v>65</v>
      </c>
      <c r="J15" s="100">
        <v>0.1</v>
      </c>
    </row>
    <row r="16" spans="2:10">
      <c r="B16" s="113" t="s">
        <v>111</v>
      </c>
      <c r="C16" s="113" t="s">
        <v>270</v>
      </c>
      <c r="D16" s="115">
        <v>38.97</v>
      </c>
      <c r="E16" s="50"/>
      <c r="F16" s="115">
        <f>VLOOKUP(B16,Eurostat!$A$7:$C$35,3,0)</f>
        <v>47.52</v>
      </c>
      <c r="G16" s="50">
        <f t="shared" si="0"/>
        <v>-0.17992424242424251</v>
      </c>
      <c r="I16" s="113" t="s">
        <v>111</v>
      </c>
      <c r="J16" s="53" t="s">
        <v>277</v>
      </c>
    </row>
    <row r="17" spans="2:10">
      <c r="B17" s="113" t="s">
        <v>115</v>
      </c>
      <c r="C17" s="113" t="s">
        <v>270</v>
      </c>
      <c r="D17" s="115">
        <v>294.41000000000003</v>
      </c>
      <c r="E17" s="50"/>
      <c r="F17" s="115">
        <f>VLOOKUP(B17,Eurostat!$A$7:$C$35,3,0)</f>
        <v>329.14</v>
      </c>
      <c r="G17" s="50">
        <f t="shared" si="0"/>
        <v>-0.10551740900528639</v>
      </c>
      <c r="I17" s="113" t="s">
        <v>115</v>
      </c>
      <c r="J17" s="53" t="s">
        <v>280</v>
      </c>
    </row>
    <row r="18" spans="2:10">
      <c r="B18" s="113" t="s">
        <v>66</v>
      </c>
      <c r="C18" s="113" t="s">
        <v>270</v>
      </c>
      <c r="D18" s="115">
        <v>9.9</v>
      </c>
      <c r="E18" s="50"/>
      <c r="F18" s="115">
        <f>VLOOKUP(B18,Eurostat!$A$7:$C$35,3,0)</f>
        <v>8.52</v>
      </c>
      <c r="G18" s="50">
        <f t="shared" si="0"/>
        <v>0.16197183098591558</v>
      </c>
      <c r="I18" s="113" t="s">
        <v>66</v>
      </c>
      <c r="J18" s="100">
        <v>0.17</v>
      </c>
    </row>
    <row r="19" spans="2:10">
      <c r="B19" s="113" t="s">
        <v>67</v>
      </c>
      <c r="C19" s="113" t="s">
        <v>270</v>
      </c>
      <c r="D19" s="115">
        <v>15.46</v>
      </c>
      <c r="E19" s="50"/>
      <c r="F19" s="115">
        <f>VLOOKUP(B19,Eurostat!$A$7:$C$35,3,0)</f>
        <v>10.78</v>
      </c>
      <c r="G19" s="109">
        <f t="shared" si="0"/>
        <v>0.43413729128014861</v>
      </c>
      <c r="I19" s="113" t="s">
        <v>67</v>
      </c>
      <c r="J19" s="100">
        <v>0.15</v>
      </c>
    </row>
    <row r="20" spans="2:10">
      <c r="B20" s="113" t="s">
        <v>117</v>
      </c>
      <c r="C20" s="113" t="s">
        <v>270</v>
      </c>
      <c r="D20" s="115">
        <v>8.14</v>
      </c>
      <c r="E20" s="50"/>
      <c r="F20" s="115">
        <f>VLOOKUP(B20,Eurostat!$A$7:$C$35,3,0)</f>
        <v>10.130000000000001</v>
      </c>
      <c r="G20" s="50">
        <f t="shared" si="0"/>
        <v>-0.19644619940769992</v>
      </c>
      <c r="I20" s="113" t="s">
        <v>117</v>
      </c>
      <c r="J20" s="53" t="s">
        <v>277</v>
      </c>
    </row>
    <row r="21" spans="2:10">
      <c r="B21" s="113" t="s">
        <v>118</v>
      </c>
      <c r="C21" s="113" t="s">
        <v>270</v>
      </c>
      <c r="D21" s="115">
        <v>1.1599999999999999</v>
      </c>
      <c r="E21" s="50"/>
      <c r="F21" s="115">
        <f>VLOOKUP(B21,Eurostat!$A$7:$C$35,3,0)</f>
        <v>1.03</v>
      </c>
      <c r="G21" s="50">
        <f t="shared" si="0"/>
        <v>0.1262135922330096</v>
      </c>
      <c r="I21" s="113" t="s">
        <v>118</v>
      </c>
      <c r="J21" s="100">
        <v>0.05</v>
      </c>
    </row>
    <row r="22" spans="2:10">
      <c r="B22" s="113" t="s">
        <v>119</v>
      </c>
      <c r="C22" s="113" t="s">
        <v>270</v>
      </c>
      <c r="D22" s="115">
        <v>107.04</v>
      </c>
      <c r="E22" s="50"/>
      <c r="F22" s="115">
        <f>VLOOKUP(B22,Eurostat!$A$7:$C$35,3,0)</f>
        <v>122.88</v>
      </c>
      <c r="G22" s="50">
        <f t="shared" si="0"/>
        <v>-0.12890624999999992</v>
      </c>
      <c r="I22" s="113" t="s">
        <v>119</v>
      </c>
      <c r="J22" s="53" t="s">
        <v>274</v>
      </c>
    </row>
    <row r="23" spans="2:10">
      <c r="B23" s="113" t="s">
        <v>68</v>
      </c>
      <c r="C23" s="113" t="s">
        <v>270</v>
      </c>
      <c r="D23" s="115">
        <v>202.34</v>
      </c>
      <c r="E23" s="50"/>
      <c r="F23" s="115">
        <f>VLOOKUP(B23,Eurostat!$A$7:$C$35,3,0)</f>
        <v>176.01</v>
      </c>
      <c r="G23" s="50">
        <f t="shared" si="0"/>
        <v>0.14959377308107502</v>
      </c>
      <c r="I23" s="113" t="s">
        <v>68</v>
      </c>
      <c r="J23" s="100">
        <v>0.14000000000000001</v>
      </c>
    </row>
    <row r="24" spans="2:10">
      <c r="B24" s="113" t="s">
        <v>69</v>
      </c>
      <c r="C24" s="113" t="s">
        <v>270</v>
      </c>
      <c r="D24" s="115">
        <v>51.24</v>
      </c>
      <c r="E24" s="50"/>
      <c r="F24" s="115">
        <f>VLOOKUP(B24,Eurostat!$A$7:$C$35,3,0)</f>
        <v>49.53</v>
      </c>
      <c r="G24" s="50">
        <f t="shared" si="0"/>
        <v>3.452453058752273E-2</v>
      </c>
      <c r="I24" s="113" t="s">
        <v>69</v>
      </c>
      <c r="J24" s="100">
        <v>0.01</v>
      </c>
    </row>
    <row r="25" spans="2:10">
      <c r="B25" s="113" t="s">
        <v>70</v>
      </c>
      <c r="C25" s="113" t="s">
        <v>270</v>
      </c>
      <c r="D25" s="115">
        <v>88.38</v>
      </c>
      <c r="E25" s="50"/>
      <c r="F25" s="115">
        <f>VLOOKUP(B25,Eurostat!$A$7:$C$35,3,0)</f>
        <v>73.03</v>
      </c>
      <c r="G25" s="50">
        <f t="shared" si="0"/>
        <v>0.2101875941393947</v>
      </c>
      <c r="I25" s="113" t="s">
        <v>70</v>
      </c>
      <c r="J25" s="100">
        <v>0.19</v>
      </c>
    </row>
    <row r="26" spans="2:10">
      <c r="B26" s="113" t="s">
        <v>71</v>
      </c>
      <c r="C26" s="113" t="s">
        <v>270</v>
      </c>
      <c r="D26" s="115">
        <v>26.54</v>
      </c>
      <c r="E26" s="50"/>
      <c r="F26" s="115">
        <f>VLOOKUP(B26,Eurostat!$A$7:$C$35,3,0)</f>
        <v>22.3</v>
      </c>
      <c r="G26" s="50">
        <f t="shared" si="0"/>
        <v>0.19013452914798198</v>
      </c>
      <c r="I26" s="113" t="s">
        <v>71</v>
      </c>
      <c r="J26" s="100">
        <v>0.13</v>
      </c>
    </row>
    <row r="27" spans="2:10">
      <c r="B27" s="113" t="s">
        <v>72</v>
      </c>
      <c r="C27" s="113" t="s">
        <v>270</v>
      </c>
      <c r="D27" s="115">
        <v>12.53</v>
      </c>
      <c r="E27" s="50"/>
      <c r="F27" s="115">
        <f>VLOOKUP(B27,Eurostat!$A$7:$C$35,3,0)</f>
        <v>11.85</v>
      </c>
      <c r="G27" s="50">
        <f t="shared" si="0"/>
        <v>5.7383966244725713E-2</v>
      </c>
      <c r="I27" s="113" t="s">
        <v>72</v>
      </c>
      <c r="J27" s="100">
        <v>0.04</v>
      </c>
    </row>
    <row r="28" spans="2:10">
      <c r="B28" s="113" t="s">
        <v>113</v>
      </c>
      <c r="C28" s="113" t="s">
        <v>270</v>
      </c>
      <c r="D28" s="115">
        <v>214.16</v>
      </c>
      <c r="E28" s="50"/>
      <c r="F28" s="115">
        <f>VLOOKUP(B28,Eurostat!$A$7:$C$35,3,0)</f>
        <v>233.84</v>
      </c>
      <c r="G28" s="50">
        <f t="shared" si="0"/>
        <v>-8.4160109476565201E-2</v>
      </c>
      <c r="I28" s="113" t="s">
        <v>113</v>
      </c>
      <c r="J28" s="53" t="s">
        <v>281</v>
      </c>
    </row>
    <row r="29" spans="2:10">
      <c r="B29" s="113" t="s">
        <v>122</v>
      </c>
      <c r="C29" s="113" t="s">
        <v>270</v>
      </c>
      <c r="D29" s="115">
        <v>37.200000000000003</v>
      </c>
      <c r="E29" s="50"/>
      <c r="F29" s="115">
        <f>VLOOKUP(B29,Eurostat!$A$7:$C$35,3,0)</f>
        <v>42.9</v>
      </c>
      <c r="G29" s="50">
        <f t="shared" si="0"/>
        <v>-0.13286713286713278</v>
      </c>
      <c r="I29" s="113" t="s">
        <v>122</v>
      </c>
      <c r="J29" s="53" t="s">
        <v>282</v>
      </c>
    </row>
    <row r="30" spans="2:10">
      <c r="B30" s="113" t="s">
        <v>123</v>
      </c>
      <c r="C30" s="113" t="s">
        <v>270</v>
      </c>
      <c r="D30" s="115">
        <v>327.10000000000002</v>
      </c>
      <c r="E30" s="50"/>
      <c r="F30" s="115">
        <f>VLOOKUP(B30,Eurostat!$A$7:$C$35,3,0)</f>
        <v>414.71</v>
      </c>
      <c r="G30" s="109">
        <f t="shared" si="0"/>
        <v>-0.21125605845048337</v>
      </c>
      <c r="I30" s="113" t="s">
        <v>123</v>
      </c>
      <c r="J30" s="53" t="s">
        <v>274</v>
      </c>
    </row>
    <row r="31" spans="2:10" s="113" customFormat="1">
      <c r="B31" s="46" t="s">
        <v>107</v>
      </c>
      <c r="D31" s="115">
        <f>SUM(D3:D30)</f>
        <v>2644.1200000000003</v>
      </c>
      <c r="E31" s="50"/>
      <c r="F31" s="115">
        <f>VLOOKUP(B31,Eurostat!$A$7:$C$35,3,0)</f>
        <v>2848.43</v>
      </c>
      <c r="G31" s="50">
        <f t="shared" si="0"/>
        <v>-7.172723219457719E-2</v>
      </c>
    </row>
    <row r="32" spans="2:10">
      <c r="B32" s="113" t="s">
        <v>120</v>
      </c>
      <c r="C32" s="113" t="s">
        <v>271</v>
      </c>
      <c r="D32" s="115">
        <v>52.08</v>
      </c>
      <c r="I32" s="113"/>
      <c r="J32" s="113"/>
    </row>
    <row r="33" spans="2:10">
      <c r="B33" s="113" t="s">
        <v>108</v>
      </c>
      <c r="C33" s="113" t="s">
        <v>271</v>
      </c>
      <c r="D33" s="115">
        <v>76.849999999999994</v>
      </c>
      <c r="I33" s="113"/>
      <c r="J33" s="113"/>
    </row>
    <row r="34" spans="2:10">
      <c r="B34" s="113" t="s">
        <v>61</v>
      </c>
      <c r="C34" s="113" t="s">
        <v>271</v>
      </c>
      <c r="D34" s="115">
        <v>27.2</v>
      </c>
    </row>
    <row r="35" spans="2:10">
      <c r="B35" s="113" t="s">
        <v>62</v>
      </c>
      <c r="C35" s="113" t="s">
        <v>271</v>
      </c>
      <c r="D35" s="115">
        <v>19.809999999999999</v>
      </c>
    </row>
    <row r="36" spans="2:10">
      <c r="B36" s="113" t="s">
        <v>116</v>
      </c>
      <c r="C36" s="113" t="s">
        <v>271</v>
      </c>
      <c r="D36" s="115">
        <v>5.92</v>
      </c>
    </row>
    <row r="37" spans="2:10">
      <c r="B37" s="113" t="s">
        <v>63</v>
      </c>
      <c r="C37" s="113" t="s">
        <v>271</v>
      </c>
      <c r="D37" s="115">
        <v>63.21</v>
      </c>
    </row>
    <row r="38" spans="2:10">
      <c r="B38" s="113" t="s">
        <v>109</v>
      </c>
      <c r="C38" s="113" t="s">
        <v>271</v>
      </c>
      <c r="D38" s="115">
        <v>35.93</v>
      </c>
    </row>
    <row r="39" spans="2:10">
      <c r="B39" s="113" t="s">
        <v>64</v>
      </c>
      <c r="C39" s="113" t="s">
        <v>271</v>
      </c>
      <c r="D39" s="115">
        <v>6.32</v>
      </c>
    </row>
    <row r="40" spans="2:10">
      <c r="B40" s="113" t="s">
        <v>121</v>
      </c>
      <c r="C40" s="113" t="s">
        <v>271</v>
      </c>
      <c r="D40" s="115">
        <v>31.29</v>
      </c>
    </row>
    <row r="41" spans="2:10">
      <c r="B41" s="113" t="s">
        <v>114</v>
      </c>
      <c r="C41" s="113" t="s">
        <v>271</v>
      </c>
      <c r="D41" s="115">
        <v>389.46</v>
      </c>
    </row>
    <row r="42" spans="2:10">
      <c r="B42" s="113" t="s">
        <v>110</v>
      </c>
      <c r="C42" s="113" t="s">
        <v>271</v>
      </c>
      <c r="D42" s="115">
        <v>465.83</v>
      </c>
    </row>
    <row r="43" spans="2:10">
      <c r="B43" s="113" t="s">
        <v>112</v>
      </c>
      <c r="C43" s="113" t="s">
        <v>271</v>
      </c>
      <c r="D43" s="115">
        <v>59.28</v>
      </c>
    </row>
    <row r="44" spans="2:10">
      <c r="B44" s="113" t="s">
        <v>65</v>
      </c>
      <c r="C44" s="113" t="s">
        <v>271</v>
      </c>
      <c r="D44" s="115">
        <v>51.52</v>
      </c>
    </row>
    <row r="45" spans="2:10">
      <c r="B45" s="113" t="s">
        <v>111</v>
      </c>
      <c r="C45" s="113" t="s">
        <v>271</v>
      </c>
      <c r="D45" s="115">
        <v>45.76</v>
      </c>
    </row>
    <row r="46" spans="2:10">
      <c r="B46" s="113" t="s">
        <v>115</v>
      </c>
      <c r="C46" s="113" t="s">
        <v>271</v>
      </c>
      <c r="D46" s="115">
        <v>306.2</v>
      </c>
    </row>
    <row r="47" spans="2:10">
      <c r="B47" s="113" t="s">
        <v>66</v>
      </c>
      <c r="C47" s="113" t="s">
        <v>271</v>
      </c>
      <c r="D47" s="115">
        <v>9.35</v>
      </c>
    </row>
    <row r="48" spans="2:10">
      <c r="B48" s="113" t="s">
        <v>67</v>
      </c>
      <c r="C48" s="113" t="s">
        <v>271</v>
      </c>
      <c r="D48" s="115">
        <v>13.3</v>
      </c>
    </row>
    <row r="49" spans="2:4">
      <c r="B49" s="113" t="s">
        <v>117</v>
      </c>
      <c r="C49" s="113" t="s">
        <v>271</v>
      </c>
      <c r="D49" s="115">
        <v>9.34</v>
      </c>
    </row>
    <row r="50" spans="2:4">
      <c r="B50" s="113" t="s">
        <v>118</v>
      </c>
      <c r="C50" s="113" t="s">
        <v>271</v>
      </c>
      <c r="D50" s="115">
        <v>1.17</v>
      </c>
    </row>
    <row r="51" spans="2:4">
      <c r="B51" s="113" t="s">
        <v>119</v>
      </c>
      <c r="C51" s="113" t="s">
        <v>271</v>
      </c>
      <c r="D51" s="115">
        <v>120.68</v>
      </c>
    </row>
    <row r="52" spans="2:4">
      <c r="B52" s="113" t="s">
        <v>68</v>
      </c>
      <c r="C52" s="113" t="s">
        <v>271</v>
      </c>
      <c r="D52" s="115">
        <v>194.89</v>
      </c>
    </row>
    <row r="53" spans="2:4">
      <c r="B53" s="113" t="s">
        <v>69</v>
      </c>
      <c r="C53" s="113" t="s">
        <v>271</v>
      </c>
      <c r="D53" s="115">
        <v>49.59</v>
      </c>
    </row>
    <row r="54" spans="2:4">
      <c r="B54" s="113" t="s">
        <v>70</v>
      </c>
      <c r="C54" s="113" t="s">
        <v>271</v>
      </c>
      <c r="D54" s="115">
        <v>77.45</v>
      </c>
    </row>
    <row r="55" spans="2:4">
      <c r="B55" s="113" t="s">
        <v>71</v>
      </c>
      <c r="C55" s="113" t="s">
        <v>271</v>
      </c>
      <c r="D55" s="115">
        <v>24.38</v>
      </c>
    </row>
    <row r="56" spans="2:4">
      <c r="B56" s="113" t="s">
        <v>72</v>
      </c>
      <c r="C56" s="113" t="s">
        <v>271</v>
      </c>
      <c r="D56" s="115">
        <v>12.35</v>
      </c>
    </row>
    <row r="57" spans="2:4">
      <c r="B57" s="113" t="s">
        <v>113</v>
      </c>
      <c r="C57" s="113" t="s">
        <v>271</v>
      </c>
      <c r="D57" s="115">
        <v>225.65</v>
      </c>
    </row>
    <row r="58" spans="2:4">
      <c r="B58" s="113" t="s">
        <v>122</v>
      </c>
      <c r="C58" s="113" t="s">
        <v>271</v>
      </c>
      <c r="D58" s="115">
        <v>41.04</v>
      </c>
    </row>
    <row r="59" spans="2:4">
      <c r="B59" s="113" t="s">
        <v>123</v>
      </c>
      <c r="C59" s="113" t="s">
        <v>271</v>
      </c>
      <c r="D59" s="115">
        <v>354.22</v>
      </c>
    </row>
    <row r="60" spans="2:4">
      <c r="B60" s="113" t="s">
        <v>120</v>
      </c>
      <c r="C60" s="113" t="s">
        <v>272</v>
      </c>
      <c r="D60" s="115">
        <v>48.22</v>
      </c>
    </row>
    <row r="61" spans="2:4">
      <c r="B61" s="113" t="s">
        <v>108</v>
      </c>
      <c r="C61" s="113" t="s">
        <v>272</v>
      </c>
      <c r="D61" s="115">
        <v>69.989999999999995</v>
      </c>
    </row>
    <row r="62" spans="2:4">
      <c r="B62" s="113" t="s">
        <v>61</v>
      </c>
      <c r="C62" s="113" t="s">
        <v>272</v>
      </c>
      <c r="D62" s="115">
        <v>22.86</v>
      </c>
    </row>
    <row r="63" spans="2:4">
      <c r="B63" s="113" t="s">
        <v>62</v>
      </c>
      <c r="C63" s="113" t="s">
        <v>272</v>
      </c>
      <c r="D63" s="115">
        <v>15.98</v>
      </c>
    </row>
    <row r="64" spans="2:4">
      <c r="B64" s="113" t="s">
        <v>116</v>
      </c>
      <c r="C64" s="113" t="s">
        <v>272</v>
      </c>
      <c r="D64" s="115">
        <v>3.95</v>
      </c>
    </row>
    <row r="65" spans="2:4">
      <c r="B65" s="113" t="s">
        <v>63</v>
      </c>
      <c r="C65" s="113" t="s">
        <v>272</v>
      </c>
      <c r="D65" s="115">
        <v>59.18</v>
      </c>
    </row>
    <row r="66" spans="2:4">
      <c r="B66" s="113" t="s">
        <v>109</v>
      </c>
      <c r="C66" s="113" t="s">
        <v>272</v>
      </c>
      <c r="D66" s="115">
        <v>32.64</v>
      </c>
    </row>
    <row r="67" spans="2:4">
      <c r="B67" s="113" t="s">
        <v>64</v>
      </c>
      <c r="C67" s="113" t="s">
        <v>272</v>
      </c>
      <c r="D67" s="115">
        <v>6.08</v>
      </c>
    </row>
    <row r="68" spans="2:4">
      <c r="B68" s="113" t="s">
        <v>121</v>
      </c>
      <c r="C68" s="113" t="s">
        <v>272</v>
      </c>
      <c r="D68" s="115">
        <v>30.15</v>
      </c>
    </row>
    <row r="69" spans="2:4">
      <c r="B69" s="113" t="s">
        <v>114</v>
      </c>
      <c r="C69" s="113" t="s">
        <v>272</v>
      </c>
      <c r="D69" s="115">
        <v>354.17</v>
      </c>
    </row>
    <row r="70" spans="2:4">
      <c r="B70" s="113" t="s">
        <v>110</v>
      </c>
      <c r="C70" s="113" t="s">
        <v>272</v>
      </c>
      <c r="D70" s="115">
        <v>436.75</v>
      </c>
    </row>
    <row r="71" spans="2:4">
      <c r="B71" s="113" t="s">
        <v>112</v>
      </c>
      <c r="C71" s="113" t="s">
        <v>272</v>
      </c>
      <c r="D71" s="115">
        <v>45.48</v>
      </c>
    </row>
    <row r="72" spans="2:4">
      <c r="B72" s="113" t="s">
        <v>65</v>
      </c>
      <c r="C72" s="113" t="s">
        <v>272</v>
      </c>
      <c r="D72" s="115">
        <v>38.4</v>
      </c>
    </row>
    <row r="73" spans="2:4">
      <c r="B73" s="113" t="s">
        <v>111</v>
      </c>
      <c r="C73" s="113" t="s">
        <v>272</v>
      </c>
      <c r="D73" s="115">
        <v>42.29</v>
      </c>
    </row>
    <row r="74" spans="2:4">
      <c r="B74" s="113" t="s">
        <v>115</v>
      </c>
      <c r="C74" s="113" t="s">
        <v>272</v>
      </c>
      <c r="D74" s="115">
        <v>264.06</v>
      </c>
    </row>
    <row r="75" spans="2:4">
      <c r="B75" s="113" t="s">
        <v>66</v>
      </c>
      <c r="C75" s="113" t="s">
        <v>272</v>
      </c>
      <c r="D75" s="115">
        <v>8.93</v>
      </c>
    </row>
    <row r="76" spans="2:4">
      <c r="B76" s="113" t="s">
        <v>67</v>
      </c>
      <c r="C76" s="113" t="s">
        <v>272</v>
      </c>
      <c r="D76" s="115">
        <v>12.14</v>
      </c>
    </row>
    <row r="77" spans="2:4">
      <c r="B77" s="113" t="s">
        <v>117</v>
      </c>
      <c r="C77" s="113" t="s">
        <v>272</v>
      </c>
      <c r="D77" s="115">
        <v>8.85</v>
      </c>
    </row>
    <row r="78" spans="2:4">
      <c r="B78" s="113" t="s">
        <v>118</v>
      </c>
      <c r="C78" s="113" t="s">
        <v>272</v>
      </c>
      <c r="D78" s="115">
        <v>1.32</v>
      </c>
    </row>
    <row r="79" spans="2:4">
      <c r="B79" s="113" t="s">
        <v>119</v>
      </c>
      <c r="C79" s="113" t="s">
        <v>272</v>
      </c>
      <c r="D79" s="115">
        <v>98.01</v>
      </c>
    </row>
    <row r="80" spans="2:4">
      <c r="B80" s="113" t="s">
        <v>68</v>
      </c>
      <c r="C80" s="113" t="s">
        <v>272</v>
      </c>
      <c r="D80" s="115">
        <v>182.99</v>
      </c>
    </row>
    <row r="81" spans="2:4">
      <c r="B81" s="113" t="s">
        <v>69</v>
      </c>
      <c r="C81" s="113" t="s">
        <v>272</v>
      </c>
      <c r="D81" s="115">
        <v>40.11</v>
      </c>
    </row>
    <row r="82" spans="2:4">
      <c r="B82" s="113" t="s">
        <v>70</v>
      </c>
      <c r="C82" s="113" t="s">
        <v>272</v>
      </c>
      <c r="D82" s="115">
        <v>67.11</v>
      </c>
    </row>
    <row r="83" spans="2:4">
      <c r="B83" s="113" t="s">
        <v>71</v>
      </c>
      <c r="C83" s="113" t="s">
        <v>272</v>
      </c>
      <c r="D83" s="115">
        <v>19.72</v>
      </c>
    </row>
    <row r="84" spans="2:4">
      <c r="B84" s="113" t="s">
        <v>72</v>
      </c>
      <c r="C84" s="113" t="s">
        <v>272</v>
      </c>
      <c r="D84" s="115">
        <v>10.47</v>
      </c>
    </row>
    <row r="85" spans="2:4">
      <c r="B85" s="113" t="s">
        <v>113</v>
      </c>
      <c r="C85" s="113" t="s">
        <v>272</v>
      </c>
      <c r="D85" s="115">
        <v>201.43</v>
      </c>
    </row>
    <row r="86" spans="2:4">
      <c r="B86" s="113" t="s">
        <v>122</v>
      </c>
      <c r="C86" s="113" t="s">
        <v>272</v>
      </c>
      <c r="D86" s="115">
        <v>34.520000000000003</v>
      </c>
    </row>
    <row r="87" spans="2:4">
      <c r="B87" s="113" t="s">
        <v>123</v>
      </c>
      <c r="C87" s="113" t="s">
        <v>272</v>
      </c>
      <c r="D87" s="115">
        <v>327.38</v>
      </c>
    </row>
  </sheetData>
  <hyperlinks>
    <hyperlink ref="B1" r:id="rId1" location="tab-googlechartid_chart_11 "/>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workbookViewId="0">
      <selection activeCell="I35" sqref="I35"/>
    </sheetView>
  </sheetViews>
  <sheetFormatPr defaultRowHeight="15"/>
  <sheetData>
    <row r="2" spans="2:3">
      <c r="B2" s="48" t="s">
        <v>120</v>
      </c>
      <c r="C2" s="47" t="s">
        <v>48</v>
      </c>
    </row>
    <row r="3" spans="2:3">
      <c r="B3" s="48" t="s">
        <v>108</v>
      </c>
      <c r="C3" s="47" t="s">
        <v>46</v>
      </c>
    </row>
    <row r="4" spans="2:3">
      <c r="B4" s="48" t="s">
        <v>61</v>
      </c>
      <c r="C4" s="47" t="s">
        <v>45</v>
      </c>
    </row>
    <row r="5" spans="2:3">
      <c r="B5" s="48" t="s">
        <v>63</v>
      </c>
      <c r="C5" s="47" t="s">
        <v>42</v>
      </c>
    </row>
    <row r="6" spans="2:3">
      <c r="B6" s="48" t="s">
        <v>109</v>
      </c>
      <c r="C6" s="47" t="s">
        <v>40</v>
      </c>
    </row>
    <row r="7" spans="2:3">
      <c r="B7" s="48" t="s">
        <v>142</v>
      </c>
      <c r="C7" s="47" t="s">
        <v>41</v>
      </c>
    </row>
    <row r="8" spans="2:3">
      <c r="B8" s="48" t="s">
        <v>64</v>
      </c>
      <c r="C8" s="47" t="s">
        <v>39</v>
      </c>
    </row>
    <row r="9" spans="2:3">
      <c r="B9" s="48" t="s">
        <v>111</v>
      </c>
      <c r="C9" s="47" t="s">
        <v>32</v>
      </c>
    </row>
    <row r="10" spans="2:3">
      <c r="B10" s="48" t="s">
        <v>112</v>
      </c>
      <c r="C10" s="47" t="s">
        <v>38</v>
      </c>
    </row>
    <row r="11" spans="2:3">
      <c r="B11" s="48" t="s">
        <v>113</v>
      </c>
      <c r="C11" s="47" t="s">
        <v>37</v>
      </c>
    </row>
    <row r="12" spans="2:3">
      <c r="B12" s="48" t="s">
        <v>114</v>
      </c>
      <c r="C12" s="47" t="s">
        <v>35</v>
      </c>
    </row>
    <row r="13" spans="2:3">
      <c r="B13" s="48" t="s">
        <v>62</v>
      </c>
      <c r="C13" s="47" t="s">
        <v>34</v>
      </c>
    </row>
    <row r="14" spans="2:3">
      <c r="B14" s="48" t="s">
        <v>115</v>
      </c>
      <c r="C14" s="47" t="s">
        <v>30</v>
      </c>
    </row>
    <row r="15" spans="2:3">
      <c r="B15" s="48" t="s">
        <v>116</v>
      </c>
      <c r="C15" s="47" t="s">
        <v>43</v>
      </c>
    </row>
    <row r="16" spans="2:3">
      <c r="B16" s="48" t="s">
        <v>66</v>
      </c>
      <c r="C16" s="47" t="s">
        <v>26</v>
      </c>
    </row>
    <row r="17" spans="2:3">
      <c r="B17" s="48" t="s">
        <v>67</v>
      </c>
      <c r="C17" s="47" t="s">
        <v>28</v>
      </c>
    </row>
    <row r="18" spans="2:3">
      <c r="B18" s="48" t="s">
        <v>117</v>
      </c>
      <c r="C18" s="47" t="s">
        <v>27</v>
      </c>
    </row>
    <row r="19" spans="2:3">
      <c r="B19" s="48" t="s">
        <v>65</v>
      </c>
      <c r="C19" s="47" t="s">
        <v>33</v>
      </c>
    </row>
    <row r="20" spans="2:3">
      <c r="B20" s="48" t="s">
        <v>118</v>
      </c>
      <c r="C20" s="47" t="s">
        <v>23</v>
      </c>
    </row>
    <row r="21" spans="2:3">
      <c r="B21" s="48" t="s">
        <v>119</v>
      </c>
      <c r="C21" s="47" t="s">
        <v>22</v>
      </c>
    </row>
    <row r="22" spans="2:3">
      <c r="B22" s="48" t="s">
        <v>68</v>
      </c>
      <c r="C22" s="47" t="s">
        <v>20</v>
      </c>
    </row>
    <row r="23" spans="2:3">
      <c r="B23" s="48" t="s">
        <v>69</v>
      </c>
      <c r="C23" s="47" t="s">
        <v>19</v>
      </c>
    </row>
    <row r="24" spans="2:3">
      <c r="B24" s="48" t="s">
        <v>70</v>
      </c>
      <c r="C24" s="47" t="s">
        <v>18</v>
      </c>
    </row>
    <row r="25" spans="2:3">
      <c r="B25" s="48" t="s">
        <v>72</v>
      </c>
      <c r="C25" s="47" t="s">
        <v>15</v>
      </c>
    </row>
    <row r="26" spans="2:3">
      <c r="B26" s="48" t="s">
        <v>71</v>
      </c>
      <c r="C26" s="47" t="s">
        <v>14</v>
      </c>
    </row>
    <row r="27" spans="2:3">
      <c r="B27" s="48" t="s">
        <v>121</v>
      </c>
      <c r="C27" s="47" t="s">
        <v>36</v>
      </c>
    </row>
    <row r="28" spans="2:3">
      <c r="B28" s="48" t="s">
        <v>122</v>
      </c>
      <c r="C28" s="47" t="s">
        <v>16</v>
      </c>
    </row>
    <row r="29" spans="2:3">
      <c r="B29" s="48" t="s">
        <v>123</v>
      </c>
      <c r="C29" s="47" t="s">
        <v>13</v>
      </c>
    </row>
    <row r="30" spans="2:3">
      <c r="B30" s="48" t="s">
        <v>124</v>
      </c>
      <c r="C30" s="47" t="s">
        <v>31</v>
      </c>
    </row>
    <row r="31" spans="2:3">
      <c r="B31" s="48" t="s">
        <v>143</v>
      </c>
      <c r="C31" s="47"/>
    </row>
    <row r="32" spans="2:3">
      <c r="B32" s="48" t="s">
        <v>126</v>
      </c>
      <c r="C32" s="47" t="s">
        <v>21</v>
      </c>
    </row>
    <row r="33" spans="2:3">
      <c r="B33" s="48" t="s">
        <v>127</v>
      </c>
      <c r="C33" s="47" t="s">
        <v>44</v>
      </c>
    </row>
    <row r="34" spans="2:3">
      <c r="B34" s="48" t="s">
        <v>144</v>
      </c>
      <c r="C34" s="47" t="s">
        <v>25</v>
      </c>
    </row>
    <row r="35" spans="2:3">
      <c r="B35" s="48" t="s">
        <v>145</v>
      </c>
      <c r="C35" s="47" t="s">
        <v>24</v>
      </c>
    </row>
    <row r="36" spans="2:3">
      <c r="B36" s="48" t="s">
        <v>146</v>
      </c>
      <c r="C36" s="47" t="s">
        <v>49</v>
      </c>
    </row>
    <row r="37" spans="2:3">
      <c r="B37" s="48" t="s">
        <v>147</v>
      </c>
      <c r="C37" s="4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55"/>
  <sheetViews>
    <sheetView topLeftCell="A28" zoomScale="115" zoomScaleNormal="115" workbookViewId="0">
      <selection activeCell="B10" sqref="B10"/>
    </sheetView>
  </sheetViews>
  <sheetFormatPr defaultRowHeight="15"/>
  <cols>
    <col min="1" max="16384" width="9.140625" style="105"/>
  </cols>
  <sheetData>
    <row r="2" spans="2:2">
      <c r="B2" s="105" t="s">
        <v>157</v>
      </c>
    </row>
    <row r="3" spans="2:2">
      <c r="B3" s="105" t="s">
        <v>284</v>
      </c>
    </row>
    <row r="4" spans="2:2">
      <c r="B4" s="105" t="s">
        <v>285</v>
      </c>
    </row>
    <row r="5" spans="2:2">
      <c r="B5" s="105" t="s">
        <v>364</v>
      </c>
    </row>
    <row r="9" spans="2:2" ht="21">
      <c r="B9" s="107" t="s">
        <v>283</v>
      </c>
    </row>
    <row r="10" spans="2:2" ht="21">
      <c r="B10" s="107" t="s">
        <v>335</v>
      </c>
    </row>
    <row r="11" spans="2:2" ht="21">
      <c r="B11" s="107"/>
    </row>
    <row r="12" spans="2:2" ht="21">
      <c r="B12" s="107" t="s">
        <v>336</v>
      </c>
    </row>
    <row r="14" spans="2:2">
      <c r="B14" s="112" t="s">
        <v>158</v>
      </c>
    </row>
    <row r="15" spans="2:2">
      <c r="B15" s="112" t="s">
        <v>160</v>
      </c>
    </row>
    <row r="16" spans="2:2">
      <c r="B16" s="112" t="s">
        <v>159</v>
      </c>
    </row>
    <row r="19" spans="2:2">
      <c r="B19" s="105" t="s">
        <v>161</v>
      </c>
    </row>
    <row r="21" spans="2:2">
      <c r="B21" s="112" t="s">
        <v>264</v>
      </c>
    </row>
    <row r="37" spans="16:17">
      <c r="Q37" s="105" t="s">
        <v>356</v>
      </c>
    </row>
    <row r="38" spans="16:17">
      <c r="P38" s="135" t="s">
        <v>355</v>
      </c>
      <c r="Q38" s="105" t="s">
        <v>401</v>
      </c>
    </row>
    <row r="39" spans="16:17">
      <c r="P39" s="135" t="s">
        <v>350</v>
      </c>
      <c r="Q39" s="105" t="s">
        <v>54</v>
      </c>
    </row>
    <row r="40" spans="16:17">
      <c r="P40" s="135" t="s">
        <v>351</v>
      </c>
      <c r="Q40" s="105" t="s">
        <v>400</v>
      </c>
    </row>
    <row r="41" spans="16:17">
      <c r="P41" s="135" t="s">
        <v>352</v>
      </c>
      <c r="Q41" s="105" t="s">
        <v>357</v>
      </c>
    </row>
    <row r="42" spans="16:17">
      <c r="P42" s="135" t="s">
        <v>353</v>
      </c>
      <c r="Q42" s="105" t="s">
        <v>54</v>
      </c>
    </row>
    <row r="43" spans="16:17">
      <c r="P43" s="135" t="s">
        <v>354</v>
      </c>
      <c r="Q43" s="105" t="s">
        <v>54</v>
      </c>
    </row>
    <row r="44" spans="16:17">
      <c r="P44" s="135" t="s">
        <v>300</v>
      </c>
      <c r="Q44" s="105" t="s">
        <v>357</v>
      </c>
    </row>
    <row r="45" spans="16:17">
      <c r="P45" s="135" t="s">
        <v>358</v>
      </c>
      <c r="Q45" s="105" t="s">
        <v>357</v>
      </c>
    </row>
    <row r="46" spans="16:17">
      <c r="P46" s="135" t="s">
        <v>359</v>
      </c>
      <c r="Q46" s="105" t="s">
        <v>357</v>
      </c>
    </row>
    <row r="47" spans="16:17">
      <c r="P47" s="135" t="s">
        <v>189</v>
      </c>
      <c r="Q47" s="105" t="s">
        <v>357</v>
      </c>
    </row>
    <row r="48" spans="16:17">
      <c r="P48" s="135" t="s">
        <v>360</v>
      </c>
      <c r="Q48" s="105" t="s">
        <v>357</v>
      </c>
    </row>
    <row r="49" spans="15:27">
      <c r="P49" s="135" t="s">
        <v>361</v>
      </c>
      <c r="Q49" s="105" t="s">
        <v>362</v>
      </c>
    </row>
    <row r="50" spans="15:27">
      <c r="P50" s="135"/>
    </row>
    <row r="53" spans="15:27">
      <c r="O53" s="144" t="s">
        <v>286</v>
      </c>
      <c r="P53" s="144" t="s">
        <v>287</v>
      </c>
      <c r="Q53" s="144" t="s">
        <v>288</v>
      </c>
      <c r="R53" s="144" t="s">
        <v>56</v>
      </c>
      <c r="S53" s="144" t="s">
        <v>289</v>
      </c>
      <c r="T53" s="144" t="s">
        <v>290</v>
      </c>
      <c r="U53" s="144" t="s">
        <v>3</v>
      </c>
      <c r="V53" s="144" t="s">
        <v>291</v>
      </c>
      <c r="W53" s="144" t="s">
        <v>292</v>
      </c>
      <c r="X53" s="144" t="s">
        <v>293</v>
      </c>
      <c r="Y53" s="144" t="s">
        <v>294</v>
      </c>
      <c r="Z53" s="144" t="s">
        <v>295</v>
      </c>
      <c r="AA53" s="144" t="s">
        <v>296</v>
      </c>
    </row>
    <row r="54" spans="15:27">
      <c r="O54" s="145" t="s">
        <v>297</v>
      </c>
      <c r="P54" s="145" t="s">
        <v>298</v>
      </c>
      <c r="Q54" s="145" t="s">
        <v>308</v>
      </c>
      <c r="R54" s="145" t="s">
        <v>309</v>
      </c>
      <c r="S54" s="145" t="s">
        <v>299</v>
      </c>
      <c r="T54" s="145" t="s">
        <v>320</v>
      </c>
      <c r="U54" s="145" t="s">
        <v>95</v>
      </c>
      <c r="V54" s="145" t="s">
        <v>394</v>
      </c>
      <c r="W54" s="145" t="s">
        <v>395</v>
      </c>
      <c r="X54" s="145" t="s">
        <v>396</v>
      </c>
      <c r="Y54" s="145" t="s">
        <v>96</v>
      </c>
      <c r="Z54" s="145" t="s">
        <v>304</v>
      </c>
      <c r="AA54" s="146">
        <v>159423.21445</v>
      </c>
    </row>
    <row r="55" spans="15:27">
      <c r="O55" s="145" t="s">
        <v>297</v>
      </c>
      <c r="P55" s="145" t="s">
        <v>298</v>
      </c>
      <c r="Q55" s="145" t="s">
        <v>308</v>
      </c>
      <c r="R55" s="145" t="s">
        <v>309</v>
      </c>
      <c r="S55" s="145" t="s">
        <v>299</v>
      </c>
      <c r="T55" s="145" t="s">
        <v>320</v>
      </c>
      <c r="U55" s="145" t="s">
        <v>95</v>
      </c>
      <c r="V55" s="145" t="s">
        <v>397</v>
      </c>
      <c r="W55" s="145" t="s">
        <v>398</v>
      </c>
      <c r="X55" s="145" t="s">
        <v>399</v>
      </c>
      <c r="Y55" s="145" t="s">
        <v>96</v>
      </c>
      <c r="Z55" s="145" t="s">
        <v>304</v>
      </c>
      <c r="AA55" s="146">
        <v>21934.95189</v>
      </c>
    </row>
  </sheetData>
  <hyperlinks>
    <hyperlink ref="B14" r:id="rId1" location="tab-0-0 "/>
    <hyperlink ref="B16" r:id="rId2" location="tab-0-1 "/>
    <hyperlink ref="B15" r:id="rId3"/>
    <hyperlink ref="B21" r:id="rId4"/>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F26" sqref="F26"/>
    </sheetView>
  </sheetViews>
  <sheetFormatPr defaultRowHeight="15"/>
  <cols>
    <col min="1" max="1" width="9.140625" style="113"/>
    <col min="2" max="2" width="13.85546875" style="113" customWidth="1"/>
    <col min="3" max="3" width="17.7109375" style="113" bestFit="1" customWidth="1"/>
    <col min="4" max="4" width="10.7109375" style="113" bestFit="1" customWidth="1"/>
    <col min="5" max="16384" width="9.140625" style="113"/>
  </cols>
  <sheetData>
    <row r="3" spans="2:5">
      <c r="B3" s="113" t="s">
        <v>119</v>
      </c>
    </row>
    <row r="4" spans="2:5">
      <c r="B4" s="113">
        <v>2005</v>
      </c>
      <c r="C4" s="113" t="s">
        <v>367</v>
      </c>
      <c r="D4" s="113" t="s">
        <v>368</v>
      </c>
      <c r="E4" s="113" t="s">
        <v>369</v>
      </c>
    </row>
    <row r="5" spans="2:5">
      <c r="B5" s="113">
        <v>122.8</v>
      </c>
      <c r="C5" s="113">
        <v>99.7</v>
      </c>
      <c r="D5" s="113">
        <v>95.4</v>
      </c>
      <c r="E5" s="115">
        <f>0.64*B5</f>
        <v>78.591999999999999</v>
      </c>
    </row>
    <row r="6" spans="2:5">
      <c r="D6" s="113" t="s">
        <v>370</v>
      </c>
      <c r="E6" s="113" t="s">
        <v>371</v>
      </c>
    </row>
    <row r="7" spans="2:5">
      <c r="C7" s="113">
        <v>2020</v>
      </c>
      <c r="D7" s="113">
        <f>C5</f>
        <v>99.7</v>
      </c>
      <c r="E7" s="115">
        <f>D5</f>
        <v>95.4</v>
      </c>
    </row>
    <row r="8" spans="2:5">
      <c r="B8" s="113" t="s">
        <v>372</v>
      </c>
      <c r="C8" s="136">
        <v>2021</v>
      </c>
      <c r="D8" s="115">
        <f t="shared" ref="D8:D16" si="0">D7+($D$17-$D$7)/10</f>
        <v>97.589200000000005</v>
      </c>
      <c r="E8" s="115">
        <f>E7+($E$17-$E$7)/10</f>
        <v>93.719200000000001</v>
      </c>
    </row>
    <row r="9" spans="2:5">
      <c r="B9" s="113" t="s">
        <v>372</v>
      </c>
      <c r="C9" s="136">
        <v>2022</v>
      </c>
      <c r="D9" s="115">
        <f t="shared" si="0"/>
        <v>95.478400000000008</v>
      </c>
      <c r="E9" s="115">
        <f t="shared" ref="E9:E16" si="1">E8+($E$17-$E$7)/10</f>
        <v>92.038399999999996</v>
      </c>
    </row>
    <row r="10" spans="2:5">
      <c r="B10" s="113" t="s">
        <v>372</v>
      </c>
      <c r="C10" s="136">
        <v>2023</v>
      </c>
      <c r="D10" s="115">
        <f t="shared" si="0"/>
        <v>93.36760000000001</v>
      </c>
      <c r="E10" s="115">
        <f t="shared" si="1"/>
        <v>90.357599999999991</v>
      </c>
    </row>
    <row r="11" spans="2:5">
      <c r="B11" s="113" t="s">
        <v>372</v>
      </c>
      <c r="C11" s="136">
        <v>2024</v>
      </c>
      <c r="D11" s="115">
        <f t="shared" si="0"/>
        <v>91.256800000000013</v>
      </c>
      <c r="E11" s="115">
        <f t="shared" si="1"/>
        <v>88.676799999999986</v>
      </c>
    </row>
    <row r="12" spans="2:5">
      <c r="B12" s="113" t="s">
        <v>372</v>
      </c>
      <c r="C12" s="136">
        <v>2025</v>
      </c>
      <c r="D12" s="115">
        <f t="shared" si="0"/>
        <v>89.146000000000015</v>
      </c>
      <c r="E12" s="115">
        <f t="shared" si="1"/>
        <v>86.995999999999981</v>
      </c>
    </row>
    <row r="13" spans="2:5">
      <c r="B13" s="113" t="s">
        <v>372</v>
      </c>
      <c r="C13" s="136">
        <v>2026</v>
      </c>
      <c r="D13" s="115">
        <f t="shared" si="0"/>
        <v>87.035200000000017</v>
      </c>
      <c r="E13" s="115">
        <f t="shared" si="1"/>
        <v>85.315199999999976</v>
      </c>
    </row>
    <row r="14" spans="2:5">
      <c r="B14" s="113" t="s">
        <v>372</v>
      </c>
      <c r="C14" s="136">
        <v>2027</v>
      </c>
      <c r="D14" s="115">
        <f t="shared" si="0"/>
        <v>84.92440000000002</v>
      </c>
      <c r="E14" s="115">
        <f t="shared" si="1"/>
        <v>83.634399999999971</v>
      </c>
    </row>
    <row r="15" spans="2:5">
      <c r="B15" s="113" t="s">
        <v>372</v>
      </c>
      <c r="C15" s="136">
        <v>2028</v>
      </c>
      <c r="D15" s="115">
        <f t="shared" si="0"/>
        <v>82.813600000000022</v>
      </c>
      <c r="E15" s="115">
        <f t="shared" si="1"/>
        <v>81.953599999999966</v>
      </c>
    </row>
    <row r="16" spans="2:5">
      <c r="B16" s="113" t="s">
        <v>372</v>
      </c>
      <c r="C16" s="136">
        <v>2029</v>
      </c>
      <c r="D16" s="115">
        <f t="shared" si="0"/>
        <v>80.702800000000025</v>
      </c>
      <c r="E16" s="115">
        <f t="shared" si="1"/>
        <v>80.272799999999961</v>
      </c>
    </row>
    <row r="17" spans="2:5">
      <c r="B17" s="113" t="s">
        <v>372</v>
      </c>
      <c r="C17" s="136">
        <v>2030</v>
      </c>
      <c r="D17" s="115">
        <f>E5</f>
        <v>78.591999999999999</v>
      </c>
      <c r="E17" s="115">
        <f>E5</f>
        <v>78.591999999999999</v>
      </c>
    </row>
    <row r="19" spans="2:5">
      <c r="D19" s="49">
        <f>SUM(D8:D17)</f>
        <v>880.90600000000006</v>
      </c>
      <c r="E19" s="49">
        <f>SUM(E8:E17)</f>
        <v>861.55599999999981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49"/>
  <sheetViews>
    <sheetView topLeftCell="A19" zoomScale="115" zoomScaleNormal="115" workbookViewId="0">
      <selection activeCell="Q46" sqref="Q46"/>
    </sheetView>
  </sheetViews>
  <sheetFormatPr defaultRowHeight="15"/>
  <cols>
    <col min="1" max="1" width="9.140625" style="113"/>
    <col min="2" max="2" width="13.85546875" style="113" customWidth="1"/>
    <col min="3" max="3" width="25.5703125" style="113" customWidth="1"/>
    <col min="4" max="4" width="10.7109375" style="113" bestFit="1" customWidth="1"/>
    <col min="5" max="16384" width="9.140625" style="113"/>
  </cols>
  <sheetData>
    <row r="3" spans="2:12">
      <c r="B3" s="113" t="s">
        <v>265</v>
      </c>
    </row>
    <row r="4" spans="2:12">
      <c r="B4" s="113">
        <v>2005</v>
      </c>
      <c r="C4" s="113" t="s">
        <v>367</v>
      </c>
      <c r="D4" s="113" t="s">
        <v>368</v>
      </c>
      <c r="E4" s="113" t="s">
        <v>369</v>
      </c>
    </row>
    <row r="5" spans="2:12">
      <c r="B5" s="137">
        <f>D45</f>
        <v>2848.43</v>
      </c>
      <c r="C5" s="49">
        <f>(1-0.125)*B5</f>
        <v>2492.3762499999998</v>
      </c>
      <c r="D5" s="49">
        <f>F45</f>
        <v>2364.1889307735019</v>
      </c>
      <c r="E5" s="49">
        <f>0.7*B5</f>
        <v>1993.9009999999998</v>
      </c>
    </row>
    <row r="6" spans="2:12">
      <c r="B6" s="113" t="s">
        <v>373</v>
      </c>
      <c r="D6" s="113" t="s">
        <v>374</v>
      </c>
      <c r="E6" s="49" t="s">
        <v>375</v>
      </c>
      <c r="F6" s="113" t="s">
        <v>376</v>
      </c>
      <c r="G6" s="113" t="s">
        <v>377</v>
      </c>
      <c r="I6" s="113" t="str">
        <f>D6</f>
        <v>S1 Average 2016-2018</v>
      </c>
      <c r="J6" s="113" t="str">
        <f>E6</f>
        <v>S2 Alternative 2020</v>
      </c>
      <c r="K6" s="113" t="str">
        <f>F6</f>
        <v>REF2016</v>
      </c>
      <c r="L6" s="113" t="str">
        <f>G6</f>
        <v>EUCO30</v>
      </c>
    </row>
    <row r="7" spans="2:12">
      <c r="C7" s="113">
        <v>2020</v>
      </c>
      <c r="D7" s="49">
        <f>C5</f>
        <v>2492.3762499999998</v>
      </c>
      <c r="E7" s="49">
        <f>D5</f>
        <v>2364.1889307735019</v>
      </c>
      <c r="F7" s="138">
        <f>F45</f>
        <v>2364.1889307735019</v>
      </c>
      <c r="G7" s="49">
        <f>R45</f>
        <v>2380.6129941267463</v>
      </c>
      <c r="I7" s="18">
        <f t="shared" ref="I7:L17" si="0">D7/$B$5-1</f>
        <v>-0.125</v>
      </c>
      <c r="J7" s="18">
        <f t="shared" si="0"/>
        <v>-0.17000279776104665</v>
      </c>
      <c r="K7" s="18">
        <f t="shared" si="0"/>
        <v>-0.17000279776104665</v>
      </c>
      <c r="L7" s="18">
        <f t="shared" si="0"/>
        <v>-0.16423679215331022</v>
      </c>
    </row>
    <row r="8" spans="2:12">
      <c r="B8" s="113" t="s">
        <v>372</v>
      </c>
      <c r="C8" s="136">
        <v>2021</v>
      </c>
      <c r="D8" s="49">
        <f t="shared" ref="D8:D16" si="1">D7+($D$17-$D$7)/10</f>
        <v>2442.5287249999997</v>
      </c>
      <c r="E8" s="49">
        <f>E7+($E$17-$E$7)/10</f>
        <v>2327.1601376961517</v>
      </c>
      <c r="F8" s="49">
        <f>F7+($F$12-$F$7)/5</f>
        <v>2344.8887529260869</v>
      </c>
      <c r="G8" s="49">
        <f>G7+($G$12-$G$7)/5</f>
        <v>2341.9831867184716</v>
      </c>
      <c r="I8" s="18">
        <f t="shared" si="0"/>
        <v>-0.14250000000000007</v>
      </c>
      <c r="J8" s="18">
        <f t="shared" si="0"/>
        <v>-0.18300251798494194</v>
      </c>
      <c r="K8" s="18">
        <f t="shared" si="0"/>
        <v>-0.17677852258047866</v>
      </c>
      <c r="L8" s="18">
        <f t="shared" si="0"/>
        <v>-0.17779858142258309</v>
      </c>
    </row>
    <row r="9" spans="2:12">
      <c r="B9" s="113" t="s">
        <v>372</v>
      </c>
      <c r="C9" s="136">
        <v>2022</v>
      </c>
      <c r="D9" s="49">
        <f t="shared" si="1"/>
        <v>2392.6811999999995</v>
      </c>
      <c r="E9" s="49">
        <f t="shared" ref="E9:E16" si="2">E8+($E$17-$E$7)/10</f>
        <v>2290.1313446188014</v>
      </c>
      <c r="F9" s="49">
        <f>F8+($F$12-$F$7)/5</f>
        <v>2325.588575078672</v>
      </c>
      <c r="G9" s="49">
        <f>G8+($G$12-$G$7)/5</f>
        <v>2303.3533793101969</v>
      </c>
      <c r="I9" s="18">
        <f t="shared" si="0"/>
        <v>-0.16000000000000014</v>
      </c>
      <c r="J9" s="18">
        <f t="shared" si="0"/>
        <v>-0.19600223820883733</v>
      </c>
      <c r="K9" s="18">
        <f t="shared" si="0"/>
        <v>-0.18355424739991077</v>
      </c>
      <c r="L9" s="18">
        <f t="shared" si="0"/>
        <v>-0.19136037069185585</v>
      </c>
    </row>
    <row r="10" spans="2:12">
      <c r="B10" s="113" t="s">
        <v>372</v>
      </c>
      <c r="C10" s="136">
        <v>2023</v>
      </c>
      <c r="D10" s="49">
        <f t="shared" si="1"/>
        <v>2342.8336749999994</v>
      </c>
      <c r="E10" s="49">
        <f t="shared" si="2"/>
        <v>2253.1025515414512</v>
      </c>
      <c r="F10" s="49">
        <f>F9+($F$12-$F$7)/5</f>
        <v>2306.288397231257</v>
      </c>
      <c r="G10" s="49">
        <f>G9+($G$12-$G$7)/5</f>
        <v>2264.7235719019222</v>
      </c>
      <c r="I10" s="18">
        <f t="shared" si="0"/>
        <v>-0.17750000000000021</v>
      </c>
      <c r="J10" s="18">
        <f t="shared" si="0"/>
        <v>-0.20900195843273262</v>
      </c>
      <c r="K10" s="18">
        <f t="shared" si="0"/>
        <v>-0.19032997221934289</v>
      </c>
      <c r="L10" s="18">
        <f t="shared" si="0"/>
        <v>-0.20492215996112861</v>
      </c>
    </row>
    <row r="11" spans="2:12">
      <c r="B11" s="113" t="s">
        <v>372</v>
      </c>
      <c r="C11" s="136">
        <v>2024</v>
      </c>
      <c r="D11" s="49">
        <f t="shared" si="1"/>
        <v>2292.9861499999993</v>
      </c>
      <c r="E11" s="49">
        <f t="shared" si="2"/>
        <v>2216.073758464101</v>
      </c>
      <c r="F11" s="49">
        <f>F10+($F$12-$F$7)/5</f>
        <v>2286.9882193838421</v>
      </c>
      <c r="G11" s="49">
        <f>G10+($G$12-$G$7)/5</f>
        <v>2226.0937644936475</v>
      </c>
      <c r="I11" s="18">
        <f t="shared" si="0"/>
        <v>-0.19500000000000017</v>
      </c>
      <c r="J11" s="18">
        <f t="shared" si="0"/>
        <v>-0.22200167865662801</v>
      </c>
      <c r="K11" s="18">
        <f t="shared" si="0"/>
        <v>-0.19710569703877501</v>
      </c>
      <c r="L11" s="18">
        <f t="shared" si="0"/>
        <v>-0.21848394923040138</v>
      </c>
    </row>
    <row r="12" spans="2:12">
      <c r="B12" s="113" t="s">
        <v>372</v>
      </c>
      <c r="C12" s="136">
        <v>2025</v>
      </c>
      <c r="D12" s="49">
        <f t="shared" si="1"/>
        <v>2243.1386249999991</v>
      </c>
      <c r="E12" s="49">
        <f t="shared" si="2"/>
        <v>2179.0449653867508</v>
      </c>
      <c r="F12" s="138">
        <f>G45</f>
        <v>2267.6880415364267</v>
      </c>
      <c r="G12" s="49">
        <f>S45</f>
        <v>2187.4639570853724</v>
      </c>
      <c r="I12" s="18">
        <f t="shared" si="0"/>
        <v>-0.21250000000000024</v>
      </c>
      <c r="J12" s="18">
        <f t="shared" si="0"/>
        <v>-0.23500139888052329</v>
      </c>
      <c r="K12" s="18">
        <f t="shared" si="0"/>
        <v>-0.20388142185820723</v>
      </c>
      <c r="L12" s="18">
        <f t="shared" si="0"/>
        <v>-0.23204573849967436</v>
      </c>
    </row>
    <row r="13" spans="2:12">
      <c r="B13" s="113" t="s">
        <v>372</v>
      </c>
      <c r="C13" s="136">
        <v>2026</v>
      </c>
      <c r="D13" s="49">
        <f t="shared" si="1"/>
        <v>2193.291099999999</v>
      </c>
      <c r="E13" s="49">
        <f t="shared" si="2"/>
        <v>2142.0161723094006</v>
      </c>
      <c r="F13" s="49">
        <f>F12+($F$17-$F$12)/5</f>
        <v>2244.2531468367542</v>
      </c>
      <c r="G13" s="49">
        <f>G12+($G$17-$G$12)/5</f>
        <v>2144.2525246222881</v>
      </c>
      <c r="I13" s="18">
        <f t="shared" si="0"/>
        <v>-0.23000000000000032</v>
      </c>
      <c r="J13" s="18">
        <f t="shared" si="0"/>
        <v>-0.24800111910441869</v>
      </c>
      <c r="K13" s="18">
        <f t="shared" si="0"/>
        <v>-0.21210872416146631</v>
      </c>
      <c r="L13" s="18">
        <f t="shared" si="0"/>
        <v>-0.24721600157901436</v>
      </c>
    </row>
    <row r="14" spans="2:12">
      <c r="B14" s="113" t="s">
        <v>372</v>
      </c>
      <c r="C14" s="136">
        <v>2027</v>
      </c>
      <c r="D14" s="49">
        <f t="shared" si="1"/>
        <v>2143.4435749999989</v>
      </c>
      <c r="E14" s="49">
        <f t="shared" si="2"/>
        <v>2104.9873792320504</v>
      </c>
      <c r="F14" s="49">
        <f>F13+($F$17-$F$12)/5</f>
        <v>2220.8182521370818</v>
      </c>
      <c r="G14" s="49">
        <f>G13+($G$17-$G$12)/5</f>
        <v>2101.0410921592038</v>
      </c>
      <c r="I14" s="18">
        <f t="shared" si="0"/>
        <v>-0.24750000000000039</v>
      </c>
      <c r="J14" s="18">
        <f t="shared" si="0"/>
        <v>-0.26100083932831397</v>
      </c>
      <c r="K14" s="18">
        <f t="shared" si="0"/>
        <v>-0.2203360264647255</v>
      </c>
      <c r="L14" s="18">
        <f t="shared" si="0"/>
        <v>-0.26238626465835424</v>
      </c>
    </row>
    <row r="15" spans="2:12">
      <c r="B15" s="113" t="s">
        <v>372</v>
      </c>
      <c r="C15" s="136">
        <v>2028</v>
      </c>
      <c r="D15" s="49">
        <f t="shared" si="1"/>
        <v>2093.5960499999987</v>
      </c>
      <c r="E15" s="49">
        <f t="shared" si="2"/>
        <v>2067.9585861547002</v>
      </c>
      <c r="F15" s="49">
        <f>F14+($F$17-$F$12)/5</f>
        <v>2197.3833574374094</v>
      </c>
      <c r="G15" s="49">
        <f>G14+($G$17-$G$12)/5</f>
        <v>2057.8296596961195</v>
      </c>
      <c r="I15" s="18">
        <f t="shared" si="0"/>
        <v>-0.26500000000000035</v>
      </c>
      <c r="J15" s="18">
        <f t="shared" si="0"/>
        <v>-0.27400055955220937</v>
      </c>
      <c r="K15" s="18">
        <f t="shared" si="0"/>
        <v>-0.22856332876798469</v>
      </c>
      <c r="L15" s="18">
        <f t="shared" si="0"/>
        <v>-0.27755652773769424</v>
      </c>
    </row>
    <row r="16" spans="2:12">
      <c r="B16" s="113" t="s">
        <v>372</v>
      </c>
      <c r="C16" s="136">
        <v>2029</v>
      </c>
      <c r="D16" s="49">
        <f t="shared" si="1"/>
        <v>2043.7485249999988</v>
      </c>
      <c r="E16" s="49">
        <f t="shared" si="2"/>
        <v>2030.92979307735</v>
      </c>
      <c r="F16" s="49">
        <f>F15+($F$17-$F$12)/5</f>
        <v>2173.9484627377369</v>
      </c>
      <c r="G16" s="49">
        <f>G15+($G$17-$G$12)/5</f>
        <v>2014.6182272330352</v>
      </c>
      <c r="I16" s="18">
        <f t="shared" si="0"/>
        <v>-0.28250000000000042</v>
      </c>
      <c r="J16" s="18">
        <f t="shared" si="0"/>
        <v>-0.28700027977610465</v>
      </c>
      <c r="K16" s="18">
        <f t="shared" si="0"/>
        <v>-0.23679063107124376</v>
      </c>
      <c r="L16" s="18">
        <f t="shared" si="0"/>
        <v>-0.29272679081703423</v>
      </c>
    </row>
    <row r="17" spans="2:28">
      <c r="B17" s="113" t="s">
        <v>372</v>
      </c>
      <c r="C17" s="136">
        <v>2030</v>
      </c>
      <c r="D17" s="49">
        <f>E5</f>
        <v>1993.9009999999998</v>
      </c>
      <c r="E17" s="49">
        <f>E5</f>
        <v>1993.9009999999998</v>
      </c>
      <c r="F17" s="138">
        <f>H45</f>
        <v>2150.5135680380645</v>
      </c>
      <c r="G17" s="49">
        <f>T45</f>
        <v>1971.4067947699505</v>
      </c>
      <c r="I17" s="18">
        <f t="shared" si="0"/>
        <v>-0.30000000000000004</v>
      </c>
      <c r="J17" s="18">
        <f t="shared" si="0"/>
        <v>-0.30000000000000004</v>
      </c>
      <c r="K17" s="18">
        <f t="shared" si="0"/>
        <v>-0.24501793337450295</v>
      </c>
      <c r="L17" s="18">
        <f t="shared" si="0"/>
        <v>-0.30789705389637434</v>
      </c>
    </row>
    <row r="19" spans="2:28">
      <c r="D19" s="49">
        <f>SUM(D8:D17)</f>
        <v>22182.148624999994</v>
      </c>
      <c r="E19" s="49">
        <f>SUM(E8:E17)</f>
        <v>21605.305688480759</v>
      </c>
      <c r="F19" s="49">
        <f>SUM(F8:F17)</f>
        <v>22518.358773343331</v>
      </c>
      <c r="G19" s="49">
        <f>SUM(G8:G17)</f>
        <v>21612.766157990212</v>
      </c>
    </row>
    <row r="20" spans="2:28">
      <c r="C20" s="113" t="s">
        <v>378</v>
      </c>
      <c r="D20" s="49">
        <f>D19-$F$19</f>
        <v>-336.21014834333619</v>
      </c>
      <c r="E20" s="49">
        <f>E19-$F$19</f>
        <v>-913.05308486257127</v>
      </c>
      <c r="F20" s="49">
        <f>F19-$F$19</f>
        <v>0</v>
      </c>
      <c r="G20" s="49">
        <f>G19-$F$19</f>
        <v>-905.59261535311816</v>
      </c>
    </row>
    <row r="21" spans="2:28">
      <c r="C21" s="113" t="s">
        <v>379</v>
      </c>
      <c r="D21" s="113">
        <v>-491</v>
      </c>
      <c r="E21" s="49">
        <v>-972</v>
      </c>
    </row>
    <row r="23" spans="2:28">
      <c r="C23" s="113" t="s">
        <v>380</v>
      </c>
      <c r="D23" s="49">
        <f>D19-$E$19</f>
        <v>576.84293651923508</v>
      </c>
      <c r="E23" s="49">
        <f>E19-$E$19</f>
        <v>0</v>
      </c>
      <c r="F23" s="49">
        <f>F19-$E$19</f>
        <v>913.05308486257127</v>
      </c>
      <c r="G23" s="49">
        <f>G19-$E$19</f>
        <v>7.4604695094531053</v>
      </c>
    </row>
    <row r="24" spans="2:28">
      <c r="C24" s="113" t="s">
        <v>379</v>
      </c>
      <c r="G24" s="113">
        <v>26</v>
      </c>
    </row>
    <row r="28" spans="2:28">
      <c r="B28" s="113" t="s">
        <v>381</v>
      </c>
    </row>
    <row r="30" spans="2:28" ht="15.75" thickBot="1"/>
    <row r="31" spans="2:28" ht="15.75" thickBot="1">
      <c r="B31" s="165" t="s">
        <v>85</v>
      </c>
      <c r="C31" s="165"/>
      <c r="D31" s="165"/>
      <c r="E31" s="165"/>
      <c r="F31" s="165"/>
      <c r="G31" s="165"/>
      <c r="H31" s="165"/>
      <c r="I31" s="165"/>
      <c r="J31" s="165"/>
      <c r="K31" s="165"/>
      <c r="L31" s="165"/>
      <c r="M31" s="165"/>
      <c r="O31" s="165" t="s">
        <v>85</v>
      </c>
      <c r="P31" s="165"/>
      <c r="Q31" s="165"/>
      <c r="R31" s="165"/>
      <c r="S31" s="165"/>
      <c r="T31" s="165"/>
      <c r="U31" s="165"/>
      <c r="V31" s="165"/>
      <c r="W31" s="165"/>
      <c r="X31" s="165"/>
      <c r="Y31" s="165"/>
      <c r="Z31" s="165"/>
      <c r="AA31" s="165"/>
      <c r="AB31" s="165"/>
    </row>
    <row r="32" spans="2:28" ht="15.75" thickBot="1">
      <c r="B32" s="20" t="s">
        <v>382</v>
      </c>
      <c r="C32" s="21">
        <v>2000</v>
      </c>
      <c r="D32" s="21">
        <v>2005</v>
      </c>
      <c r="E32" s="21">
        <v>2010</v>
      </c>
      <c r="F32" s="21">
        <v>2015</v>
      </c>
      <c r="G32" s="21">
        <v>2020</v>
      </c>
      <c r="H32" s="21">
        <v>2025</v>
      </c>
      <c r="I32" s="21">
        <v>2030</v>
      </c>
      <c r="J32" s="21">
        <v>2035</v>
      </c>
      <c r="K32" s="21">
        <v>2040</v>
      </c>
      <c r="L32" s="21">
        <v>2045</v>
      </c>
      <c r="M32" s="21">
        <v>2050</v>
      </c>
      <c r="O32" s="20" t="s">
        <v>88</v>
      </c>
      <c r="P32" s="21">
        <v>1990</v>
      </c>
      <c r="Q32" s="21">
        <v>1995</v>
      </c>
      <c r="R32" s="21">
        <v>2000</v>
      </c>
      <c r="S32" s="21">
        <v>2005</v>
      </c>
      <c r="T32" s="21">
        <v>2010</v>
      </c>
      <c r="U32" s="21">
        <v>2015</v>
      </c>
      <c r="V32" s="21">
        <v>2020</v>
      </c>
      <c r="W32" s="21">
        <v>2025</v>
      </c>
      <c r="X32" s="21">
        <v>2030</v>
      </c>
      <c r="Y32" s="21">
        <v>2035</v>
      </c>
      <c r="Z32" s="21">
        <v>2040</v>
      </c>
      <c r="AA32" s="21">
        <v>2045</v>
      </c>
      <c r="AB32" s="21">
        <v>2050</v>
      </c>
    </row>
    <row r="33" spans="2:28">
      <c r="B33" s="36" t="s">
        <v>85</v>
      </c>
      <c r="C33" s="40">
        <v>4270.4716069702426</v>
      </c>
      <c r="D33" s="40">
        <v>4409.1350161507289</v>
      </c>
      <c r="E33" s="40">
        <v>4019.738164521998</v>
      </c>
      <c r="F33" s="40">
        <v>3723.4287542624033</v>
      </c>
      <c r="G33" s="40">
        <v>3470.8409587758315</v>
      </c>
      <c r="H33" s="40">
        <v>3333.9107529226094</v>
      </c>
      <c r="I33" s="40">
        <v>3142.2200846382652</v>
      </c>
      <c r="J33" s="40">
        <v>2906.6259336788844</v>
      </c>
      <c r="K33" s="40">
        <v>2652.9760023222407</v>
      </c>
      <c r="L33" s="40">
        <v>2498.1566340285467</v>
      </c>
      <c r="M33" s="40">
        <v>2383.8122345011984</v>
      </c>
      <c r="O33" s="36" t="s">
        <v>85</v>
      </c>
      <c r="P33" s="40">
        <v>4537.9236515629809</v>
      </c>
      <c r="Q33" s="44">
        <v>4281.8968192836901</v>
      </c>
      <c r="R33" s="40">
        <v>4269.4292290959002</v>
      </c>
      <c r="S33" s="40">
        <v>4409.5784876908929</v>
      </c>
      <c r="T33" s="40">
        <v>4019.614393747881</v>
      </c>
      <c r="U33" s="40">
        <v>3762.8424283984068</v>
      </c>
      <c r="V33" s="40">
        <v>3531.5434326103314</v>
      </c>
      <c r="W33" s="40">
        <v>3194.1077369531572</v>
      </c>
      <c r="X33" s="40">
        <v>2745.3163523053013</v>
      </c>
      <c r="Y33" s="40">
        <v>2193.5179467911985</v>
      </c>
      <c r="Z33" s="40">
        <v>1450.5138619246777</v>
      </c>
      <c r="AA33" s="40">
        <v>1052.0281233169721</v>
      </c>
      <c r="AB33" s="40">
        <v>729.94602230494399</v>
      </c>
    </row>
    <row r="34" spans="2:28">
      <c r="B34" s="37" t="s">
        <v>86</v>
      </c>
      <c r="C34" s="40">
        <v>3993.1935861201036</v>
      </c>
      <c r="D34" s="40">
        <v>4126.6902429170332</v>
      </c>
      <c r="E34" s="40">
        <v>3782.4546105300233</v>
      </c>
      <c r="F34" s="40">
        <v>3489.1761443560963</v>
      </c>
      <c r="G34" s="40">
        <v>3227.4626465344045</v>
      </c>
      <c r="H34" s="40">
        <v>3091.2333689955676</v>
      </c>
      <c r="I34" s="40">
        <v>2908.0753079162823</v>
      </c>
      <c r="J34" s="40">
        <v>2689.5502671684562</v>
      </c>
      <c r="K34" s="40">
        <v>2451.9071572659873</v>
      </c>
      <c r="L34" s="40">
        <v>2305.2702272846918</v>
      </c>
      <c r="M34" s="40">
        <v>2209.9614845648166</v>
      </c>
      <c r="O34" s="37" t="s">
        <v>86</v>
      </c>
      <c r="P34" s="40">
        <v>4159.9854456995226</v>
      </c>
      <c r="Q34" s="44">
        <v>4000.986036334155</v>
      </c>
      <c r="R34" s="40">
        <v>3992.1512082457607</v>
      </c>
      <c r="S34" s="40">
        <v>4127.1337144571989</v>
      </c>
      <c r="T34" s="40">
        <v>3782.3308397559053</v>
      </c>
      <c r="U34" s="40">
        <v>3524.0732321730493</v>
      </c>
      <c r="V34" s="40">
        <v>3283.5841340241354</v>
      </c>
      <c r="W34" s="40">
        <v>2950.7863366703123</v>
      </c>
      <c r="X34" s="40">
        <v>2509.5505464385233</v>
      </c>
      <c r="Y34" s="40">
        <v>1993.4145380118696</v>
      </c>
      <c r="Z34" s="40">
        <v>1340.9193610644265</v>
      </c>
      <c r="AA34" s="40">
        <v>987.01329566495542</v>
      </c>
      <c r="AB34" s="40">
        <v>688.82340667131336</v>
      </c>
    </row>
    <row r="35" spans="2:28" ht="15.75" thickBot="1">
      <c r="B35" s="38" t="s">
        <v>87</v>
      </c>
      <c r="C35" s="39">
        <v>277.27802085013832</v>
      </c>
      <c r="D35" s="39">
        <v>282.44477323369563</v>
      </c>
      <c r="E35" s="39">
        <v>237.28355399197525</v>
      </c>
      <c r="F35" s="39">
        <v>234.25260990630832</v>
      </c>
      <c r="G35" s="39">
        <v>243.37831224142724</v>
      </c>
      <c r="H35" s="39">
        <v>242.67738392704206</v>
      </c>
      <c r="I35" s="39">
        <v>234.14477672198367</v>
      </c>
      <c r="J35" s="39">
        <v>217.07566651042737</v>
      </c>
      <c r="K35" s="39">
        <v>201.06884505625212</v>
      </c>
      <c r="L35" s="39">
        <v>192.88640674385522</v>
      </c>
      <c r="M35" s="39">
        <v>173.85074993638213</v>
      </c>
      <c r="O35" s="38" t="s">
        <v>87</v>
      </c>
      <c r="P35" s="39">
        <v>377.93820586345828</v>
      </c>
      <c r="Q35" s="45">
        <v>280.91078294953564</v>
      </c>
      <c r="R35" s="39">
        <v>277.27802085013832</v>
      </c>
      <c r="S35" s="39">
        <v>282.44477323369563</v>
      </c>
      <c r="T35" s="39">
        <v>237.28355399197525</v>
      </c>
      <c r="U35" s="39">
        <v>238.76919622535689</v>
      </c>
      <c r="V35" s="39">
        <v>247.95929858619633</v>
      </c>
      <c r="W35" s="39">
        <v>243.3214002828451</v>
      </c>
      <c r="X35" s="39">
        <v>235.76580586677821</v>
      </c>
      <c r="Y35" s="39">
        <v>200.10340877932913</v>
      </c>
      <c r="Z35" s="39">
        <v>109.59450086025136</v>
      </c>
      <c r="AA35" s="39">
        <v>65.014827652016436</v>
      </c>
      <c r="AB35" s="39">
        <v>41.122615633630346</v>
      </c>
    </row>
    <row r="36" spans="2:28">
      <c r="B36" s="33" t="s">
        <v>82</v>
      </c>
      <c r="C36" s="25">
        <v>0</v>
      </c>
      <c r="D36" s="25">
        <v>2295.797470272219</v>
      </c>
      <c r="E36" s="25">
        <v>2007.9632543462005</v>
      </c>
      <c r="F36" s="25">
        <v>1839.3443206457168</v>
      </c>
      <c r="G36" s="25">
        <v>1672.6994885457759</v>
      </c>
      <c r="H36" s="25">
        <v>1586.7081517715426</v>
      </c>
      <c r="I36" s="25">
        <v>1463.9162081136406</v>
      </c>
      <c r="J36" s="25">
        <v>1266.8346396257471</v>
      </c>
      <c r="K36" s="25">
        <v>1037.2813931789246</v>
      </c>
      <c r="L36" s="25">
        <v>897.07281148881714</v>
      </c>
      <c r="M36" s="25">
        <v>794.04326636415988</v>
      </c>
      <c r="O36" s="33" t="s">
        <v>82</v>
      </c>
      <c r="P36" s="25">
        <v>0</v>
      </c>
      <c r="Q36" s="42">
        <v>0</v>
      </c>
      <c r="R36" s="25">
        <v>0</v>
      </c>
      <c r="S36" s="25">
        <v>2296.0969838920128</v>
      </c>
      <c r="T36" s="25">
        <v>2008.0932014056698</v>
      </c>
      <c r="U36" s="25">
        <v>1844.2579478564539</v>
      </c>
      <c r="V36" s="25">
        <v>1716.2786764714504</v>
      </c>
      <c r="W36" s="25">
        <v>1526.9584271872357</v>
      </c>
      <c r="X36" s="25">
        <v>1246.6741438361273</v>
      </c>
      <c r="Y36" s="25">
        <v>892.5798009898914</v>
      </c>
      <c r="Z36" s="25">
        <v>413.78066560749096</v>
      </c>
      <c r="AA36" s="25">
        <v>286.93251894932962</v>
      </c>
      <c r="AB36" s="25">
        <v>203.73075068707777</v>
      </c>
    </row>
    <row r="37" spans="2:28">
      <c r="B37" s="33" t="s">
        <v>83</v>
      </c>
      <c r="C37" s="30">
        <v>0</v>
      </c>
      <c r="D37" s="30">
        <v>150.18149130075821</v>
      </c>
      <c r="E37" s="30">
        <v>147.98796148210172</v>
      </c>
      <c r="F37" s="30">
        <v>159.75247009386192</v>
      </c>
      <c r="G37" s="30">
        <v>168.95253945655358</v>
      </c>
      <c r="H37" s="30">
        <v>174.51455961464038</v>
      </c>
      <c r="I37" s="30">
        <v>172.95010848656017</v>
      </c>
      <c r="J37" s="30">
        <v>175.9272578669152</v>
      </c>
      <c r="K37" s="30">
        <v>181.647315877057</v>
      </c>
      <c r="L37" s="30">
        <v>188.45146581666012</v>
      </c>
      <c r="M37" s="30">
        <v>195.89314382352771</v>
      </c>
      <c r="O37" s="33" t="s">
        <v>83</v>
      </c>
      <c r="P37" s="30">
        <v>0</v>
      </c>
      <c r="Q37" s="41">
        <v>0</v>
      </c>
      <c r="R37" s="30">
        <v>0</v>
      </c>
      <c r="S37" s="30">
        <v>150.18149130126554</v>
      </c>
      <c r="T37" s="30">
        <v>147.98796148210172</v>
      </c>
      <c r="U37" s="30">
        <v>160.23250778740265</v>
      </c>
      <c r="V37" s="30">
        <v>169.65176201213544</v>
      </c>
      <c r="W37" s="30">
        <v>174.68535268054922</v>
      </c>
      <c r="X37" s="30">
        <v>172.39521369922389</v>
      </c>
      <c r="Y37" s="30">
        <v>160.48349089763408</v>
      </c>
      <c r="Z37" s="30">
        <v>145.56286023811489</v>
      </c>
      <c r="AA37" s="30">
        <v>125.63361529361974</v>
      </c>
      <c r="AB37" s="30">
        <v>99.957114291419586</v>
      </c>
    </row>
    <row r="38" spans="2:28" ht="15.75" thickBot="1">
      <c r="B38" s="32" t="s">
        <v>84</v>
      </c>
      <c r="C38" s="31">
        <v>4270.4716069702426</v>
      </c>
      <c r="D38" s="51">
        <v>1963.1560545777504</v>
      </c>
      <c r="E38" s="31">
        <v>1863.7869486936961</v>
      </c>
      <c r="F38" s="31">
        <v>1724.3319635228252</v>
      </c>
      <c r="G38" s="51">
        <v>1629.1889307735016</v>
      </c>
      <c r="H38" s="31">
        <v>1572.6880415364267</v>
      </c>
      <c r="I38" s="51">
        <v>1505.3537680380646</v>
      </c>
      <c r="J38" s="31">
        <v>1463.8640361862222</v>
      </c>
      <c r="K38" s="31">
        <v>1434.0472932662583</v>
      </c>
      <c r="L38" s="31">
        <v>1412.63235672307</v>
      </c>
      <c r="M38" s="31">
        <v>1393.8758243135112</v>
      </c>
      <c r="O38" s="32" t="s">
        <v>84</v>
      </c>
      <c r="P38" s="31">
        <v>4537.9236515629809</v>
      </c>
      <c r="Q38" s="43">
        <v>4281.8968192836901</v>
      </c>
      <c r="R38" s="31">
        <v>4269.4292290959002</v>
      </c>
      <c r="S38" s="51">
        <v>1963.3000124976154</v>
      </c>
      <c r="T38" s="31">
        <v>1863.5332308601098</v>
      </c>
      <c r="U38" s="31">
        <v>1758.3519727545493</v>
      </c>
      <c r="V38" s="51">
        <v>1645.6129941267461</v>
      </c>
      <c r="W38" s="31">
        <v>1492.4639570853726</v>
      </c>
      <c r="X38" s="51">
        <v>1326.2469947699503</v>
      </c>
      <c r="Y38" s="31">
        <v>1140.4546549036729</v>
      </c>
      <c r="Z38" s="31">
        <v>891.17033607907217</v>
      </c>
      <c r="AA38" s="31">
        <v>639.46198907402254</v>
      </c>
      <c r="AB38" s="31">
        <v>426.25815732644639</v>
      </c>
    </row>
    <row r="39" spans="2:28">
      <c r="B39" s="139"/>
      <c r="C39" s="140"/>
      <c r="D39" s="140"/>
      <c r="E39" s="140"/>
      <c r="F39" s="140"/>
      <c r="G39" s="141">
        <f>G38/$D$38-1</f>
        <v>-0.17011746112872361</v>
      </c>
      <c r="H39" s="141">
        <f t="shared" ref="H39:M39" si="3">H38/$D$38-1</f>
        <v>-0.19889810192664914</v>
      </c>
      <c r="I39" s="141">
        <f t="shared" si="3"/>
        <v>-0.23319709376754216</v>
      </c>
      <c r="J39" s="141">
        <f t="shared" si="3"/>
        <v>-0.25433129334128235</v>
      </c>
      <c r="K39" s="141">
        <f t="shared" si="3"/>
        <v>-0.2695194608078656</v>
      </c>
      <c r="L39" s="141">
        <f t="shared" si="3"/>
        <v>-0.28042788374920657</v>
      </c>
      <c r="M39" s="141">
        <f t="shared" si="3"/>
        <v>-0.28998215854352138</v>
      </c>
    </row>
    <row r="40" spans="2:28">
      <c r="B40" s="139"/>
      <c r="C40" s="52" t="s">
        <v>376</v>
      </c>
      <c r="D40" s="140"/>
      <c r="E40" s="140"/>
      <c r="F40" s="140"/>
      <c r="G40" s="140"/>
      <c r="H40" s="140"/>
      <c r="I40" s="140"/>
      <c r="J40" s="140"/>
      <c r="K40" s="140"/>
      <c r="L40" s="140"/>
      <c r="M40" s="140"/>
      <c r="O40" s="52" t="s">
        <v>377</v>
      </c>
      <c r="P40" s="140"/>
      <c r="Q40" s="140"/>
      <c r="R40" s="140"/>
      <c r="S40" s="140"/>
      <c r="T40" s="140"/>
    </row>
    <row r="41" spans="2:28">
      <c r="D41" s="49">
        <v>2005</v>
      </c>
      <c r="E41" s="49">
        <v>2015</v>
      </c>
      <c r="F41" s="49">
        <v>2020</v>
      </c>
      <c r="G41" s="49">
        <v>2025</v>
      </c>
      <c r="H41" s="49">
        <v>2030</v>
      </c>
      <c r="P41" s="49">
        <v>2005</v>
      </c>
      <c r="Q41" s="49">
        <v>2015</v>
      </c>
      <c r="R41" s="49">
        <v>2020</v>
      </c>
      <c r="S41" s="49">
        <v>2025</v>
      </c>
      <c r="T41" s="49">
        <v>2030</v>
      </c>
    </row>
    <row r="42" spans="2:28">
      <c r="B42" s="113" t="s">
        <v>325</v>
      </c>
      <c r="C42" s="113" t="s">
        <v>383</v>
      </c>
      <c r="D42" s="49">
        <v>940.34</v>
      </c>
      <c r="E42" s="49">
        <v>828.69</v>
      </c>
      <c r="F42" s="49">
        <v>740</v>
      </c>
      <c r="G42" s="49">
        <v>700</v>
      </c>
      <c r="H42" s="49">
        <v>650</v>
      </c>
      <c r="I42" s="113" t="s">
        <v>384</v>
      </c>
      <c r="O42" s="113" t="s">
        <v>383</v>
      </c>
      <c r="P42" s="49">
        <f>D42</f>
        <v>940.34</v>
      </c>
      <c r="Q42" s="49">
        <f>E42</f>
        <v>828.69</v>
      </c>
      <c r="R42" s="49">
        <f t="shared" ref="R42:T43" si="4">F42</f>
        <v>740</v>
      </c>
      <c r="S42" s="49">
        <f t="shared" si="4"/>
        <v>700</v>
      </c>
      <c r="T42" s="49">
        <f t="shared" si="4"/>
        <v>650</v>
      </c>
    </row>
    <row r="43" spans="2:28">
      <c r="B43" s="113" t="s">
        <v>325</v>
      </c>
      <c r="C43" s="113" t="s">
        <v>385</v>
      </c>
      <c r="D43" s="49">
        <f>135.6*298/1000+3</f>
        <v>43.408799999999992</v>
      </c>
      <c r="E43" s="49">
        <f>14.9*298/1000+0.4</f>
        <v>4.8402000000000003</v>
      </c>
      <c r="F43" s="113">
        <v>5</v>
      </c>
      <c r="G43" s="49">
        <v>5</v>
      </c>
      <c r="H43" s="49">
        <f>E43</f>
        <v>4.8402000000000003</v>
      </c>
      <c r="O43" s="113" t="s">
        <v>385</v>
      </c>
      <c r="P43" s="49">
        <f>D43</f>
        <v>43.408799999999992</v>
      </c>
      <c r="Q43" s="49">
        <f>E43</f>
        <v>4.8402000000000003</v>
      </c>
      <c r="R43" s="49">
        <f t="shared" si="4"/>
        <v>5</v>
      </c>
      <c r="S43" s="49">
        <f t="shared" si="4"/>
        <v>5</v>
      </c>
      <c r="T43" s="49">
        <f t="shared" si="4"/>
        <v>4.8402000000000003</v>
      </c>
    </row>
    <row r="44" spans="2:28">
      <c r="D44" s="49"/>
      <c r="E44" s="49"/>
      <c r="H44" s="49"/>
      <c r="P44" s="49"/>
      <c r="Q44" s="49"/>
      <c r="T44" s="49"/>
    </row>
    <row r="45" spans="2:28">
      <c r="B45" s="113" t="s">
        <v>129</v>
      </c>
      <c r="C45" s="113" t="s">
        <v>386</v>
      </c>
      <c r="D45" s="49">
        <v>2848.43</v>
      </c>
      <c r="E45" s="49">
        <v>2520.66</v>
      </c>
      <c r="F45" s="49">
        <f>F46+F47</f>
        <v>2364.1889307735019</v>
      </c>
      <c r="G45" s="49">
        <f>G46+G47</f>
        <v>2267.6880415364267</v>
      </c>
      <c r="H45" s="49">
        <f>H46+H47</f>
        <v>2150.5135680380645</v>
      </c>
      <c r="I45" s="140"/>
      <c r="J45" s="140"/>
      <c r="K45" s="140"/>
      <c r="L45" s="140"/>
      <c r="M45" s="140"/>
      <c r="O45" s="113" t="s">
        <v>386</v>
      </c>
      <c r="P45" s="49">
        <f t="shared" ref="P45:Q47" si="5">D45</f>
        <v>2848.43</v>
      </c>
      <c r="Q45" s="49">
        <f t="shared" si="5"/>
        <v>2520.66</v>
      </c>
      <c r="R45" s="49">
        <f>R46+R47</f>
        <v>2380.6129941267463</v>
      </c>
      <c r="S45" s="49">
        <f>S46+S47</f>
        <v>2187.4639570853724</v>
      </c>
      <c r="T45" s="49">
        <f>T46+T47</f>
        <v>1971.4067947699505</v>
      </c>
    </row>
    <row r="46" spans="2:28">
      <c r="B46" s="113" t="s">
        <v>387</v>
      </c>
      <c r="C46" s="113" t="s">
        <v>388</v>
      </c>
      <c r="D46" s="49">
        <f>D42-D43</f>
        <v>896.93119999999999</v>
      </c>
      <c r="E46" s="49">
        <f>E42-E43</f>
        <v>823.84980000000007</v>
      </c>
      <c r="F46" s="49">
        <f>F42-F43</f>
        <v>735</v>
      </c>
      <c r="G46" s="49">
        <f>G42-G43</f>
        <v>695</v>
      </c>
      <c r="H46" s="49">
        <f>H42-H43</f>
        <v>645.15980000000002</v>
      </c>
      <c r="O46" s="113" t="s">
        <v>388</v>
      </c>
      <c r="P46" s="49">
        <f t="shared" si="5"/>
        <v>896.93119999999999</v>
      </c>
      <c r="Q46" s="49">
        <f t="shared" si="5"/>
        <v>823.84980000000007</v>
      </c>
      <c r="R46" s="49">
        <f>R42-R43</f>
        <v>735</v>
      </c>
      <c r="S46" s="49">
        <f>S42-S43</f>
        <v>695</v>
      </c>
      <c r="T46" s="49">
        <f>T42-T43</f>
        <v>645.15980000000002</v>
      </c>
    </row>
    <row r="47" spans="2:28">
      <c r="B47" s="113" t="s">
        <v>387</v>
      </c>
      <c r="C47" s="113" t="s">
        <v>389</v>
      </c>
      <c r="D47" s="49">
        <f>D45-D46</f>
        <v>1951.4987999999998</v>
      </c>
      <c r="E47" s="49">
        <f>E45-E46</f>
        <v>1696.8101999999999</v>
      </c>
      <c r="F47" s="49">
        <f>G38</f>
        <v>1629.1889307735016</v>
      </c>
      <c r="G47" s="49">
        <f>H38</f>
        <v>1572.6880415364267</v>
      </c>
      <c r="H47" s="49">
        <f>I38</f>
        <v>1505.3537680380646</v>
      </c>
      <c r="O47" s="113" t="s">
        <v>389</v>
      </c>
      <c r="P47" s="49">
        <f t="shared" si="5"/>
        <v>1951.4987999999998</v>
      </c>
      <c r="Q47" s="49">
        <f t="shared" si="5"/>
        <v>1696.8101999999999</v>
      </c>
      <c r="R47" s="49">
        <f>V38</f>
        <v>1645.6129941267461</v>
      </c>
      <c r="S47" s="49">
        <f>W38</f>
        <v>1492.4639570853726</v>
      </c>
      <c r="T47" s="49">
        <f>X38</f>
        <v>1326.2469947699503</v>
      </c>
    </row>
    <row r="48" spans="2:28">
      <c r="D48" s="49"/>
    </row>
    <row r="49" spans="3:3">
      <c r="C49" s="113" t="s">
        <v>390</v>
      </c>
    </row>
  </sheetData>
  <mergeCells count="2">
    <mergeCell ref="B31:M31"/>
    <mergeCell ref="O31:AB3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ESRnonETS</vt:lpstr>
      <vt:lpstr>EC ESR</vt:lpstr>
      <vt:lpstr>PRIMES results</vt:lpstr>
      <vt:lpstr>Eurostat</vt:lpstr>
      <vt:lpstr>ESD 2020 Targets</vt:lpstr>
      <vt:lpstr>Countries</vt:lpstr>
      <vt:lpstr>ESD ESR</vt:lpstr>
      <vt:lpstr>NL</vt:lpstr>
      <vt:lpstr>EU28 COM2016 482</vt:lpstr>
      <vt:lpstr>EU28 Amendments</vt:lpstr>
      <vt:lpstr>VEDA outputs</vt:lpstr>
      <vt:lpstr>UNFCCC EU28 CO2 2005</vt:lpstr>
      <vt:lpstr>Pivot EU28</vt:lpstr>
      <vt:lpstr>Pivot</vt:lpstr>
      <vt:lpstr>UNFCCC_V20 data non-ETS</vt:lpstr>
      <vt:lpstr>ETS Verified</vt:lpstr>
      <vt:lpstr>Non CO2 total Pivot</vt:lpstr>
      <vt:lpstr>Non CO2 total</vt:lpstr>
      <vt:lpstr>N2O PFC pivot</vt:lpstr>
      <vt:lpstr>N2O PFC ETS</vt:lpstr>
      <vt:lpstr>UNFCCC Bunker Navig excluded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2020-04-22T08:48:37Z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997112452983856</vt:r8>
  </property>
</Properties>
</file>