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72DB3FBB-C365-4BF1-B5D4-FD78C5886BF8}" xr6:coauthVersionLast="45" xr6:coauthVersionMax="45" xr10:uidLastSave="{00000000-0000-0000-0000-000000000000}"/>
  <bookViews>
    <workbookView xWindow="-98" yWindow="-98" windowWidth="20715" windowHeight="13276"/>
  </bookViews>
  <sheets>
    <sheet name="SUP_NUC" sheetId="4" r:id="rId1"/>
    <sheet name="NUC_Chain_EU" sheetId="1" r:id="rId2"/>
    <sheet name="NUC to EU" sheetId="2" r:id="rId3"/>
    <sheet name="Country Flow Chart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4" l="1"/>
  <c r="D7" i="4"/>
  <c r="D6" i="4"/>
  <c r="D36" i="4"/>
  <c r="C36" i="4"/>
  <c r="E18" i="4"/>
  <c r="AC41" i="1"/>
  <c r="AC42" i="1"/>
  <c r="AJ42" i="1" s="1"/>
  <c r="AC15" i="1"/>
  <c r="G13" i="4"/>
  <c r="H13" i="4" s="1"/>
  <c r="F13" i="4"/>
  <c r="G12" i="4"/>
  <c r="H12" i="4" s="1"/>
  <c r="F12" i="4"/>
  <c r="G11" i="4"/>
  <c r="H11" i="4"/>
  <c r="F11" i="4"/>
  <c r="I10" i="4"/>
  <c r="G10" i="4"/>
  <c r="H10" i="4"/>
  <c r="I9" i="4"/>
  <c r="G9" i="4"/>
  <c r="H9" i="4" s="1"/>
  <c r="I8" i="4"/>
  <c r="G8" i="4"/>
  <c r="H8" i="4" s="1"/>
  <c r="G7" i="4"/>
  <c r="H7" i="4"/>
  <c r="F7" i="4"/>
  <c r="G6" i="4"/>
  <c r="H6" i="4" s="1"/>
  <c r="F6" i="4"/>
  <c r="AH169" i="3"/>
  <c r="AI169" i="3" s="1"/>
  <c r="AD168" i="3"/>
  <c r="AE162" i="3"/>
  <c r="AH163" i="3" s="1"/>
  <c r="AC164" i="3" s="1"/>
  <c r="AD162" i="3"/>
  <c r="AC162" i="3"/>
  <c r="AE158" i="3"/>
  <c r="X12" i="3" s="1"/>
  <c r="AH159" i="3"/>
  <c r="X11" i="3" s="1"/>
  <c r="N42" i="3" s="1"/>
  <c r="N45" i="3" s="1"/>
  <c r="AC160" i="3"/>
  <c r="AE154" i="3"/>
  <c r="AH155" i="3" s="1"/>
  <c r="AD158" i="3"/>
  <c r="AC158" i="3"/>
  <c r="X10" i="3" s="1"/>
  <c r="AD154" i="3"/>
  <c r="AC154" i="3"/>
  <c r="W10" i="3" s="1"/>
  <c r="AE148" i="3"/>
  <c r="AH149" i="3" s="1"/>
  <c r="AD148" i="3"/>
  <c r="AE142" i="3"/>
  <c r="AH143" i="3"/>
  <c r="AD142" i="3"/>
  <c r="AC142" i="3"/>
  <c r="AE138" i="3"/>
  <c r="AH139" i="3" s="1"/>
  <c r="AI141" i="3" s="1"/>
  <c r="AC140" i="3" s="1"/>
  <c r="AD138" i="3"/>
  <c r="AC138" i="3"/>
  <c r="AE132" i="3"/>
  <c r="AH133" i="3" s="1"/>
  <c r="AD132" i="3"/>
  <c r="AC132" i="3"/>
  <c r="AE128" i="3"/>
  <c r="AH129" i="3"/>
  <c r="AC130" i="3"/>
  <c r="AD128" i="3"/>
  <c r="AC128" i="3"/>
  <c r="AE122" i="3"/>
  <c r="AH123" i="3" s="1"/>
  <c r="Z12" i="3"/>
  <c r="AD122" i="3"/>
  <c r="AC122" i="3"/>
  <c r="AE118" i="3"/>
  <c r="AH119" i="3"/>
  <c r="AI121" i="3" s="1"/>
  <c r="AD118" i="3"/>
  <c r="AC118" i="3"/>
  <c r="AE112" i="3"/>
  <c r="AH113" i="3"/>
  <c r="AI113" i="3" s="1"/>
  <c r="AD112" i="3"/>
  <c r="AE106" i="3"/>
  <c r="AH107" i="3"/>
  <c r="AD106" i="3"/>
  <c r="AC106" i="3"/>
  <c r="AE102" i="3"/>
  <c r="AH103" i="3"/>
  <c r="AI105" i="3" s="1"/>
  <c r="AD103" i="3"/>
  <c r="AD102" i="3"/>
  <c r="AC102" i="3"/>
  <c r="AE96" i="3"/>
  <c r="V12" i="3"/>
  <c r="AH97" i="3"/>
  <c r="V11" i="3" s="1"/>
  <c r="N50" i="3" s="1"/>
  <c r="N53" i="3" s="1"/>
  <c r="AD96" i="3"/>
  <c r="N90" i="3"/>
  <c r="N93" i="3" s="1"/>
  <c r="AE90" i="3"/>
  <c r="AH91" i="3"/>
  <c r="AD90" i="3"/>
  <c r="I90" i="3"/>
  <c r="AH86" i="3"/>
  <c r="AH85" i="3"/>
  <c r="AI85" i="3"/>
  <c r="AC86" i="3" s="1"/>
  <c r="R11" i="3"/>
  <c r="N82" i="3"/>
  <c r="N85" i="3"/>
  <c r="I82" i="3"/>
  <c r="AH79" i="3"/>
  <c r="AI77" i="3"/>
  <c r="AC80" i="3"/>
  <c r="AC78" i="3"/>
  <c r="AH75" i="3"/>
  <c r="AC76" i="3"/>
  <c r="AT75" i="3"/>
  <c r="AC74" i="3"/>
  <c r="AE68" i="3"/>
  <c r="T12" i="3" s="1"/>
  <c r="AH69" i="3"/>
  <c r="AD69" i="3" s="1"/>
  <c r="M58" i="3" s="1"/>
  <c r="AE26" i="3"/>
  <c r="AH27" i="3"/>
  <c r="AI29" i="3" s="1"/>
  <c r="AE30" i="3"/>
  <c r="AH31" i="3" s="1"/>
  <c r="AE36" i="3"/>
  <c r="AH37" i="3"/>
  <c r="AE40" i="3"/>
  <c r="AH41" i="3" s="1"/>
  <c r="AI39" i="3" s="1"/>
  <c r="AC38" i="3" s="1"/>
  <c r="AE46" i="3"/>
  <c r="AH47" i="3" s="1"/>
  <c r="AD68" i="3"/>
  <c r="AC68" i="3"/>
  <c r="T10" i="3"/>
  <c r="AE64" i="3"/>
  <c r="AH65" i="3"/>
  <c r="AD64" i="3"/>
  <c r="AC64" i="3"/>
  <c r="AE56" i="3"/>
  <c r="AA12" i="3" s="1"/>
  <c r="AH57" i="3"/>
  <c r="AI63" i="3" s="1"/>
  <c r="AC58" i="3" s="1"/>
  <c r="AE60" i="3"/>
  <c r="AH61" i="3"/>
  <c r="AD60" i="3"/>
  <c r="AC60" i="3"/>
  <c r="AA10" i="3"/>
  <c r="AD56" i="3"/>
  <c r="AC56" i="3"/>
  <c r="AE50" i="3"/>
  <c r="AD50" i="3"/>
  <c r="AC50" i="3"/>
  <c r="Z10" i="3" s="1"/>
  <c r="AD46" i="3"/>
  <c r="AC46" i="3"/>
  <c r="M42" i="3"/>
  <c r="AD40" i="3"/>
  <c r="AC40" i="3"/>
  <c r="M34" i="3"/>
  <c r="N37" i="3" s="1"/>
  <c r="AD36" i="3"/>
  <c r="AC36" i="3"/>
  <c r="AD30" i="3"/>
  <c r="AC30" i="3"/>
  <c r="Y10" i="3" s="1"/>
  <c r="AD26" i="3"/>
  <c r="AC26" i="3"/>
  <c r="AE20" i="3"/>
  <c r="AH21" i="3"/>
  <c r="AE16" i="3"/>
  <c r="AH17" i="3" s="1"/>
  <c r="M18" i="3"/>
  <c r="I18" i="3" s="1"/>
  <c r="AD20" i="3"/>
  <c r="AC20" i="3"/>
  <c r="AL15" i="3"/>
  <c r="AL16" i="3"/>
  <c r="AD16" i="3"/>
  <c r="AC16" i="3"/>
  <c r="G12" i="3"/>
  <c r="U10" i="3"/>
  <c r="AB10" i="3" s="1"/>
  <c r="V10" i="3"/>
  <c r="R9" i="3"/>
  <c r="X9" i="3"/>
  <c r="X8" i="3" s="1"/>
  <c r="S8" i="3"/>
  <c r="G4" i="3"/>
  <c r="C7" i="3"/>
  <c r="B3" i="3"/>
  <c r="C74" i="2"/>
  <c r="C73" i="2"/>
  <c r="L72" i="2"/>
  <c r="P72" i="2" s="1"/>
  <c r="Q72" i="2" s="1"/>
  <c r="U72" i="2" s="1"/>
  <c r="V72" i="2" s="1"/>
  <c r="Z72" i="2" s="1"/>
  <c r="C72" i="2"/>
  <c r="C71" i="2"/>
  <c r="C62" i="2"/>
  <c r="C61" i="2"/>
  <c r="K48" i="2"/>
  <c r="L48" i="2" s="1"/>
  <c r="P48" i="2" s="1"/>
  <c r="Q48" i="2" s="1"/>
  <c r="U48" i="2" s="1"/>
  <c r="V48" i="2" s="1"/>
  <c r="Z48" i="2" s="1"/>
  <c r="L60" i="2"/>
  <c r="P60" i="2"/>
  <c r="Q60" i="2" s="1"/>
  <c r="U60" i="2" s="1"/>
  <c r="V60" i="2" s="1"/>
  <c r="K36" i="2"/>
  <c r="L36" i="2"/>
  <c r="P36" i="2"/>
  <c r="Q36" i="2" s="1"/>
  <c r="U36" i="2" s="1"/>
  <c r="V36" i="2" s="1"/>
  <c r="Z36" i="2" s="1"/>
  <c r="C60" i="2"/>
  <c r="C59" i="2"/>
  <c r="C50" i="2"/>
  <c r="C49" i="2"/>
  <c r="C48" i="2"/>
  <c r="H47" i="2"/>
  <c r="C47" i="2"/>
  <c r="C38" i="2"/>
  <c r="C37" i="2"/>
  <c r="C36" i="2"/>
  <c r="H35" i="2"/>
  <c r="C35" i="2"/>
  <c r="AA24" i="2"/>
  <c r="Z24" i="2"/>
  <c r="V24" i="2" s="1"/>
  <c r="U24" i="2" s="1"/>
  <c r="Q24" i="2" s="1"/>
  <c r="K24" i="2"/>
  <c r="L24" i="2"/>
  <c r="H23" i="2"/>
  <c r="C14" i="2"/>
  <c r="C13" i="2"/>
  <c r="AF12" i="2"/>
  <c r="AE12" i="2" s="1"/>
  <c r="AA12" i="2" s="1"/>
  <c r="Z12" i="2" s="1"/>
  <c r="V12" i="2" s="1"/>
  <c r="U12" i="2" s="1"/>
  <c r="Q12" i="2" s="1"/>
  <c r="K12" i="2"/>
  <c r="L12" i="2"/>
  <c r="C12" i="2"/>
  <c r="H11" i="2"/>
  <c r="C11" i="2"/>
  <c r="B67" i="1"/>
  <c r="B53" i="1"/>
  <c r="B61" i="1" s="1"/>
  <c r="B55" i="1"/>
  <c r="B57" i="1"/>
  <c r="B58" i="1" s="1"/>
  <c r="B59" i="1"/>
  <c r="B49" i="1"/>
  <c r="B51" i="1" s="1"/>
  <c r="T69" i="1"/>
  <c r="AE67" i="1"/>
  <c r="AE66" i="1"/>
  <c r="AE65" i="1"/>
  <c r="Q54" i="1"/>
  <c r="Q65" i="1" s="1"/>
  <c r="Q63" i="1"/>
  <c r="AE64" i="1"/>
  <c r="AE63" i="1"/>
  <c r="AE62" i="1"/>
  <c r="Z62" i="1"/>
  <c r="AE61" i="1"/>
  <c r="AA61" i="1"/>
  <c r="Z61" i="1"/>
  <c r="AE60" i="1"/>
  <c r="AA60" i="1"/>
  <c r="Z60" i="1"/>
  <c r="AE59" i="1"/>
  <c r="Z59" i="1"/>
  <c r="AE58" i="1"/>
  <c r="AA58" i="1"/>
  <c r="Z58" i="1"/>
  <c r="U58" i="1"/>
  <c r="AE57" i="1"/>
  <c r="Z57" i="1"/>
  <c r="AE56" i="1"/>
  <c r="Z56" i="1"/>
  <c r="AE55" i="1"/>
  <c r="Z55" i="1"/>
  <c r="AE54" i="1"/>
  <c r="Z54" i="1"/>
  <c r="AE53" i="1"/>
  <c r="Z53" i="1"/>
  <c r="AE52" i="1"/>
  <c r="Z52" i="1"/>
  <c r="AE51" i="1"/>
  <c r="AA51" i="1"/>
  <c r="Z51" i="1"/>
  <c r="Z41" i="1"/>
  <c r="V41" i="1"/>
  <c r="U42" i="1" s="1"/>
  <c r="I13" i="4" s="1"/>
  <c r="V28" i="1"/>
  <c r="R28" i="1" s="1"/>
  <c r="Q28" i="1" s="1"/>
  <c r="M28" i="1" s="1"/>
  <c r="N29" i="1"/>
  <c r="F9" i="4" s="1"/>
  <c r="N42" i="1"/>
  <c r="F10" i="4"/>
  <c r="V14" i="1"/>
  <c r="R14" i="1" s="1"/>
  <c r="Q14" i="1" s="1"/>
  <c r="M14" i="1" s="1"/>
  <c r="L14" i="1" s="1"/>
  <c r="N15" i="1"/>
  <c r="F8" i="4" s="1"/>
  <c r="Z42" i="1"/>
  <c r="AA28" i="1"/>
  <c r="Z29" i="1"/>
  <c r="Z28" i="1"/>
  <c r="E27" i="1"/>
  <c r="AK21" i="1"/>
  <c r="AC12" i="1"/>
  <c r="X13" i="1" s="1"/>
  <c r="AA14" i="1"/>
  <c r="X18" i="1"/>
  <c r="Z14" i="1"/>
  <c r="AF14" i="1"/>
  <c r="AC7" i="1"/>
  <c r="AC9" i="1" s="1"/>
  <c r="AF9" i="1" s="1"/>
  <c r="AK7" i="1"/>
  <c r="W12" i="3"/>
  <c r="U12" i="3"/>
  <c r="U29" i="1"/>
  <c r="I12" i="4" s="1"/>
  <c r="R12" i="3"/>
  <c r="X32" i="1"/>
  <c r="AC120" i="3"/>
  <c r="AD27" i="3"/>
  <c r="T11" i="3"/>
  <c r="AD91" i="3"/>
  <c r="M74" i="3" s="1"/>
  <c r="U11" i="3"/>
  <c r="N74" i="3"/>
  <c r="N77" i="3" s="1"/>
  <c r="AI91" i="3"/>
  <c r="R41" i="1"/>
  <c r="Q41" i="1"/>
  <c r="M41" i="1" s="1"/>
  <c r="W9" i="3"/>
  <c r="AA9" i="3"/>
  <c r="AA8" i="3" s="1"/>
  <c r="AH51" i="3"/>
  <c r="AC52" i="3"/>
  <c r="AD107" i="3"/>
  <c r="AD97" i="3"/>
  <c r="M50" i="3"/>
  <c r="V9" i="3" s="1"/>
  <c r="AI97" i="3"/>
  <c r="H14" i="1" l="1"/>
  <c r="G14" i="1" s="1"/>
  <c r="K15" i="1"/>
  <c r="I6" i="4" s="1"/>
  <c r="AI19" i="3"/>
  <c r="AA11" i="3"/>
  <c r="N18" i="3" s="1"/>
  <c r="N21" i="3" s="1"/>
  <c r="I74" i="3"/>
  <c r="S9" i="3"/>
  <c r="U9" i="3"/>
  <c r="L28" i="1"/>
  <c r="B54" i="1"/>
  <c r="B60" i="1"/>
  <c r="E51" i="1"/>
  <c r="B56" i="1"/>
  <c r="B68" i="1"/>
  <c r="W11" i="3"/>
  <c r="AB11" i="3" s="1"/>
  <c r="AI159" i="3"/>
  <c r="AI149" i="3"/>
  <c r="AD149" i="3"/>
  <c r="E61" i="1"/>
  <c r="B62" i="1"/>
  <c r="AC48" i="3"/>
  <c r="AI49" i="3"/>
  <c r="P12" i="2"/>
  <c r="AC10" i="3"/>
  <c r="Z15" i="1"/>
  <c r="B70" i="1"/>
  <c r="N61" i="3"/>
  <c r="T9" i="3"/>
  <c r="Z60" i="2"/>
  <c r="AE60" i="2"/>
  <c r="Y11" i="3"/>
  <c r="AD123" i="3"/>
  <c r="M26" i="3" s="1"/>
  <c r="Z11" i="3"/>
  <c r="N26" i="3" s="1"/>
  <c r="AC134" i="3"/>
  <c r="AI131" i="3"/>
  <c r="AF60" i="2"/>
  <c r="AJ60" i="2" s="1"/>
  <c r="AC28" i="1"/>
  <c r="AC29" i="1" s="1"/>
  <c r="AC3" i="3"/>
  <c r="AD113" i="3"/>
  <c r="M66" i="3" s="1"/>
  <c r="U15" i="1"/>
  <c r="I11" i="4" s="1"/>
  <c r="N58" i="3"/>
  <c r="E67" i="1"/>
  <c r="AC20" i="1"/>
  <c r="Y12" i="3"/>
  <c r="AC12" i="3" s="1"/>
  <c r="Y9" i="3" l="1"/>
  <c r="I66" i="3"/>
  <c r="H66" i="3" s="1"/>
  <c r="D66" i="3" s="1"/>
  <c r="N29" i="3"/>
  <c r="AD4" i="3"/>
  <c r="N66" i="3"/>
  <c r="N69" i="3" s="1"/>
  <c r="AC11" i="3"/>
  <c r="E70" i="1"/>
  <c r="A57" i="1"/>
  <c r="A53" i="1"/>
  <c r="A55" i="1"/>
  <c r="A59" i="1"/>
  <c r="B71" i="1"/>
  <c r="AC18" i="3"/>
  <c r="AJ15" i="3"/>
  <c r="AH4" i="3" s="1"/>
  <c r="G67" i="1"/>
  <c r="Z9" i="3"/>
  <c r="Z8" i="3" s="1"/>
  <c r="I26" i="3"/>
  <c r="H18" i="3" s="1"/>
  <c r="D18" i="3" s="1"/>
  <c r="N12" i="3"/>
  <c r="G61" i="1"/>
  <c r="E55" i="1"/>
  <c r="E59" i="1"/>
  <c r="E57" i="1"/>
  <c r="E53" i="1"/>
  <c r="H28" i="1"/>
  <c r="K29" i="1"/>
  <c r="I7" i="4" s="1"/>
  <c r="AB12" i="3"/>
  <c r="AE3" i="3" s="1"/>
  <c r="F15" i="1"/>
  <c r="C14" i="1"/>
  <c r="C13" i="1" s="1"/>
  <c r="AG5" i="3" l="1"/>
  <c r="AD7" i="3"/>
  <c r="Y8" i="3"/>
  <c r="AC9" i="3"/>
  <c r="G53" i="1"/>
  <c r="F14" i="1"/>
  <c r="G13" i="1" s="1"/>
  <c r="G15" i="1" s="1"/>
  <c r="G57" i="1"/>
  <c r="P41" i="1"/>
  <c r="P28" i="1"/>
  <c r="P14" i="1"/>
  <c r="U41" i="1"/>
  <c r="U14" i="1"/>
  <c r="U28" i="1"/>
  <c r="G59" i="1"/>
  <c r="K28" i="1"/>
  <c r="G55" i="1"/>
  <c r="K14" i="1"/>
  <c r="AB9" i="3"/>
  <c r="AC8" i="3" l="1"/>
  <c r="AB8" i="3"/>
  <c r="J7" i="4"/>
  <c r="L27" i="1"/>
  <c r="L29" i="1" s="1"/>
  <c r="J6" i="4"/>
  <c r="H15" i="1"/>
  <c r="H13" i="1" s="1"/>
  <c r="H29" i="1"/>
  <c r="H27" i="1" s="1"/>
  <c r="J13" i="4"/>
  <c r="J9" i="4"/>
  <c r="J10" i="4"/>
  <c r="J12" i="4"/>
  <c r="J11" i="4"/>
  <c r="J8" i="4"/>
  <c r="M29" i="1" l="1"/>
  <c r="M42" i="1"/>
  <c r="L13" i="1"/>
  <c r="L15" i="1" s="1"/>
  <c r="M15" i="1" s="1"/>
  <c r="M40" i="1" l="1"/>
  <c r="Q40" i="1"/>
  <c r="Q42" i="1" s="1"/>
  <c r="R42" i="1" s="1"/>
  <c r="M13" i="1"/>
  <c r="Q13" i="1"/>
  <c r="Q15" i="1" s="1"/>
  <c r="R15" i="1" s="1"/>
  <c r="M27" i="1"/>
  <c r="Q27" i="1"/>
  <c r="Q29" i="1" s="1"/>
  <c r="R29" i="1" s="1"/>
  <c r="R13" i="1" l="1"/>
  <c r="V13" i="1"/>
  <c r="R27" i="1"/>
  <c r="V27" i="1"/>
  <c r="V29" i="1" s="1"/>
  <c r="W29" i="1" s="1"/>
  <c r="AA27" i="1" s="1"/>
  <c r="AA29" i="1" s="1"/>
  <c r="R40" i="1"/>
  <c r="V40" i="1"/>
  <c r="V42" i="1" l="1"/>
  <c r="W42" i="1" s="1"/>
  <c r="AA40" i="1" s="1"/>
  <c r="W40" i="1"/>
  <c r="AC17" i="1"/>
  <c r="AC16" i="1"/>
  <c r="W13" i="1"/>
  <c r="V15" i="1"/>
  <c r="W15" i="1" s="1"/>
  <c r="AA13" i="1" s="1"/>
  <c r="AA15" i="1" s="1"/>
  <c r="W27" i="1" l="1"/>
  <c r="AA42" i="1"/>
</calcChain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tU/y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tU/y</t>
        </r>
      </text>
    </comment>
    <comment ref="B17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to take care of LT and RO that import from RUS; all other PET36 countries import from FR
</t>
        </r>
      </text>
    </comment>
    <comment ref="B18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This source will be disabled when running with TIAM
</t>
        </r>
      </text>
    </comment>
    <comment ref="O18" authorId="1" shapeId="0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1/14/2012
This will lead to about 1.2Euro/GJ price of ELCNUC
</t>
        </r>
      </text>
    </comment>
  </commentList>
</comments>
</file>

<file path=xl/comments2.xml><?xml version="1.0" encoding="utf-8"?>
<comments xmlns="http://schemas.openxmlformats.org/spreadsheetml/2006/main">
  <authors>
    <author>lavagno</author>
  </authors>
  <commentList>
    <comment ref="S7" authorId="0" shapeId="0">
      <text>
        <r>
          <rPr>
            <sz val="11"/>
            <color indexed="81"/>
            <rFont val="Tahoma"/>
            <family val="2"/>
          </rPr>
          <t>FR+SE+DE+ES-BE</t>
        </r>
      </text>
    </comment>
    <comment ref="S8" authorId="0" shapeId="0">
      <text>
        <r>
          <rPr>
            <sz val="11"/>
            <color indexed="81"/>
            <rFont val="Tahoma"/>
            <family val="2"/>
          </rPr>
          <t xml:space="preserve">reference site
</t>
        </r>
      </text>
    </comment>
    <comment ref="X8" authorId="0" shapeId="0">
      <text>
        <r>
          <rPr>
            <sz val="11"/>
            <color indexed="81"/>
            <rFont val="Tahoma"/>
            <family val="2"/>
          </rPr>
          <t>BE, BG, CZ, FI, FR, HU, SE, SK, SI, ES, CH, NL</t>
        </r>
      </text>
    </comment>
    <comment ref="N12" authorId="0" shapeId="0">
      <text>
        <r>
          <rPr>
            <sz val="11"/>
            <color indexed="81"/>
            <rFont val="Tahoma"/>
            <family val="2"/>
          </rPr>
          <t xml:space="preserve">SWU
</t>
        </r>
      </text>
    </comment>
    <comment ref="AD12" authorId="0" shapeId="0">
      <text>
        <r>
          <rPr>
            <sz val="11"/>
            <color indexed="81"/>
            <rFont val="Tahoma"/>
            <family val="2"/>
          </rPr>
          <t>91 PWR, 18 BWR, 21 VVER</t>
        </r>
      </text>
    </comment>
    <comment ref="C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D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G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H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I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L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M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N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Q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R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S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V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W13" authorId="0" shapeId="0">
      <text>
        <r>
          <rPr>
            <sz val="11"/>
            <color indexed="81"/>
            <rFont val="Tahoma"/>
            <family val="2"/>
          </rPr>
          <t xml:space="preserve">input cost k€/y
</t>
        </r>
      </text>
    </comment>
    <comment ref="X13" authorId="0" shapeId="0">
      <text>
        <r>
          <rPr>
            <sz val="11"/>
            <color indexed="81"/>
            <rFont val="Tahoma"/>
            <family val="2"/>
          </rPr>
          <t xml:space="preserve">cap (TW)
</t>
        </r>
      </text>
    </comment>
    <comment ref="AA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C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D14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E14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F14" authorId="0" shapeId="0">
      <text>
        <r>
          <rPr>
            <sz val="11"/>
            <color indexed="81"/>
            <rFont val="Tahoma"/>
            <family val="2"/>
          </rPr>
          <t xml:space="preserve">k€/tU/y)
</t>
        </r>
      </text>
    </comment>
    <comment ref="G14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H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I14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J14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K14" authorId="0" shapeId="0">
      <text>
        <r>
          <rPr>
            <sz val="11"/>
            <color indexed="81"/>
            <rFont val="Tahoma"/>
            <family val="2"/>
          </rPr>
          <t xml:space="preserve">M€/tU/y)
</t>
        </r>
      </text>
    </comment>
    <comment ref="L14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M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N14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O14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P14" authorId="0" shapeId="0">
      <text>
        <r>
          <rPr>
            <sz val="11"/>
            <color indexed="81"/>
            <rFont val="Tahoma"/>
            <family val="2"/>
          </rPr>
          <t xml:space="preserve">M
€/tU/y)
</t>
        </r>
      </text>
    </comment>
    <comment ref="Q14" authorId="0" shapeId="0">
      <text>
        <r>
          <rPr>
            <sz val="11"/>
            <color indexed="81"/>
            <rFont val="Tahoma"/>
            <family val="2"/>
          </rPr>
          <t xml:space="preserve">enriched output tU/y
 </t>
        </r>
      </text>
    </comment>
    <comment ref="R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S14" authorId="0" shapeId="0">
      <text>
        <r>
          <rPr>
            <sz val="11"/>
            <color indexed="81"/>
            <rFont val="Tahoma"/>
            <family val="2"/>
          </rPr>
          <t xml:space="preserve">INVCOST k€/(tU/y)
</t>
        </r>
      </text>
    </comment>
    <comment ref="T14" authorId="0" shapeId="0">
      <text>
        <r>
          <rPr>
            <sz val="11"/>
            <color indexed="81"/>
            <rFont val="Tahoma"/>
            <family val="2"/>
          </rPr>
          <t xml:space="preserve">FIXOM
k€/y/(tU/y)
</t>
        </r>
      </text>
    </comment>
    <comment ref="U14" authorId="0" shapeId="0">
      <text>
        <r>
          <rPr>
            <sz val="12"/>
            <color indexed="81"/>
            <rFont val="Tahoma"/>
            <family val="2"/>
          </rPr>
          <t xml:space="preserve">VAROM
M€/tU/y)
</t>
        </r>
      </text>
    </comment>
    <comment ref="V14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X14" authorId="0" shapeId="0">
      <text>
        <r>
          <rPr>
            <sz val="11"/>
            <color indexed="81"/>
            <rFont val="Tahoma"/>
            <family val="2"/>
          </rPr>
          <t xml:space="preserve">M€/GW
</t>
        </r>
      </text>
    </comment>
    <comment ref="Z14" authorId="0" shapeId="0">
      <text>
        <r>
          <rPr>
            <sz val="11"/>
            <color indexed="81"/>
            <rFont val="Tahoma"/>
            <family val="2"/>
          </rPr>
          <t xml:space="preserve">1.832 c$/kWh
</t>
        </r>
      </text>
    </comment>
    <comment ref="AA14" authorId="0" shapeId="0">
      <text>
        <r>
          <rPr>
            <sz val="11"/>
            <color indexed="81"/>
            <rFont val="Tahoma"/>
            <family val="2"/>
          </rPr>
          <t xml:space="preserve">TWh/y
</t>
        </r>
      </text>
    </comment>
    <comment ref="AF14" authorId="0" shapeId="0">
      <text>
        <r>
          <rPr>
            <sz val="11"/>
            <color indexed="81"/>
            <rFont val="Tahoma"/>
            <family val="2"/>
          </rPr>
          <t xml:space="preserve">tUenr/y
</t>
        </r>
      </text>
    </comment>
    <comment ref="C15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D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E15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F15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G15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H15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I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J15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K15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M15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N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O15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P15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Q15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R15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S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T15" authorId="0" shapeId="0">
      <text>
        <r>
          <rPr>
            <sz val="11"/>
            <color indexed="81"/>
            <rFont val="Tahoma"/>
            <family val="2"/>
          </rPr>
          <t xml:space="preserve">Plant LIFE
</t>
        </r>
      </text>
    </comment>
    <comment ref="U15" authorId="0" shapeId="0">
      <text>
        <r>
          <rPr>
            <sz val="11"/>
            <color indexed="81"/>
            <rFont val="Tahoma"/>
            <family val="2"/>
          </rPr>
          <t xml:space="preserve">Plant Availability
</t>
        </r>
      </text>
    </comment>
    <comment ref="V15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AA15" authorId="0" shapeId="0">
      <text>
        <r>
          <rPr>
            <sz val="9"/>
            <color indexed="81"/>
            <rFont val="Tahoma"/>
            <family val="2"/>
          </rPr>
          <t>€/kWh</t>
        </r>
      </text>
    </comment>
    <comment ref="AF16" authorId="0" shapeId="0">
      <text>
        <r>
          <rPr>
            <sz val="11"/>
            <color indexed="81"/>
            <rFont val="Tahoma"/>
            <family val="2"/>
          </rPr>
          <t xml:space="preserve">tUnat/y
</t>
        </r>
      </text>
    </comment>
    <comment ref="N26" authorId="0" shapeId="0">
      <text>
        <r>
          <rPr>
            <sz val="11"/>
            <color indexed="81"/>
            <rFont val="Tahoma"/>
            <family val="2"/>
          </rPr>
          <t xml:space="preserve">SWU
</t>
        </r>
      </text>
    </comment>
    <comment ref="H27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I27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L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M27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N27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Q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R27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S27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V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W27" authorId="0" shapeId="0">
      <text>
        <r>
          <rPr>
            <sz val="11"/>
            <color indexed="81"/>
            <rFont val="Tahoma"/>
            <family val="2"/>
          </rPr>
          <t xml:space="preserve">input cost k€/y
</t>
        </r>
      </text>
    </comment>
    <comment ref="X27" authorId="0" shapeId="0">
      <text>
        <r>
          <rPr>
            <sz val="8"/>
            <color indexed="81"/>
            <rFont val="Tahoma"/>
          </rPr>
          <t xml:space="preserve">cap (TW)
</t>
        </r>
      </text>
    </comment>
    <comment ref="AA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H28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I28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J28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K28" authorId="0" shapeId="0">
      <text>
        <r>
          <rPr>
            <sz val="11"/>
            <color indexed="81"/>
            <rFont val="Tahoma"/>
            <family val="2"/>
          </rPr>
          <t xml:space="preserve">M€/tU/y)
</t>
        </r>
      </text>
    </comment>
    <comment ref="L28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M28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N28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O28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P28" authorId="0" shapeId="0">
      <text>
        <r>
          <rPr>
            <sz val="11"/>
            <color indexed="81"/>
            <rFont val="Tahoma"/>
            <family val="2"/>
          </rPr>
          <t xml:space="preserve">k€/tU/y)
</t>
        </r>
      </text>
    </comment>
    <comment ref="Q28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R28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S28" authorId="0" shapeId="0">
      <text>
        <r>
          <rPr>
            <sz val="11"/>
            <color indexed="81"/>
            <rFont val="Tahoma"/>
            <family val="2"/>
          </rPr>
          <t xml:space="preserve">INVCOST k€/(tU/y)
</t>
        </r>
      </text>
    </comment>
    <comment ref="T28" authorId="0" shapeId="0">
      <text>
        <r>
          <rPr>
            <sz val="11"/>
            <color indexed="81"/>
            <rFont val="Tahoma"/>
            <family val="2"/>
          </rPr>
          <t xml:space="preserve">FIXOM
k€/y/(tU/y)
</t>
        </r>
      </text>
    </comment>
    <comment ref="U28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V28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Z28" authorId="0" shapeId="0">
      <text>
        <r>
          <rPr>
            <sz val="11"/>
            <color indexed="81"/>
            <rFont val="Tahoma"/>
            <family val="2"/>
          </rPr>
          <t xml:space="preserve">1.832 c$/kWh
</t>
        </r>
      </text>
    </comment>
    <comment ref="AA28" authorId="0" shapeId="0">
      <text>
        <r>
          <rPr>
            <sz val="11"/>
            <color indexed="81"/>
            <rFont val="Tahoma"/>
            <family val="2"/>
          </rPr>
          <t xml:space="preserve">TWh/y
</t>
        </r>
      </text>
    </comment>
    <comment ref="H29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I29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J29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K29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M29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N29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O29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P29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Q29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R29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S29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T29" authorId="0" shapeId="0">
      <text>
        <r>
          <rPr>
            <sz val="11"/>
            <color indexed="81"/>
            <rFont val="Tahoma"/>
            <family val="2"/>
          </rPr>
          <t xml:space="preserve">Plant LIFE
</t>
        </r>
      </text>
    </comment>
    <comment ref="U29" authorId="0" shapeId="0">
      <text>
        <r>
          <rPr>
            <sz val="11"/>
            <color indexed="81"/>
            <rFont val="Tahoma"/>
            <family val="2"/>
          </rPr>
          <t xml:space="preserve">Plant Availability
</t>
        </r>
      </text>
    </comment>
    <comment ref="V29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AA29" authorId="0" shapeId="0">
      <text>
        <r>
          <rPr>
            <sz val="9"/>
            <color indexed="81"/>
            <rFont val="Tahoma"/>
            <family val="2"/>
          </rPr>
          <t>€/kWh</t>
        </r>
      </text>
    </comment>
    <comment ref="S34" authorId="0" shapeId="0">
      <text>
        <r>
          <rPr>
            <sz val="11"/>
            <color indexed="81"/>
            <rFont val="Tahoma"/>
            <family val="2"/>
          </rPr>
          <t xml:space="preserve">closure in 2007
</t>
        </r>
      </text>
    </comment>
    <comment ref="N39" authorId="0" shapeId="0">
      <text>
        <r>
          <rPr>
            <sz val="11"/>
            <color indexed="81"/>
            <rFont val="Tahoma"/>
            <family val="2"/>
          </rPr>
          <t xml:space="preserve">SWU
</t>
        </r>
      </text>
    </comment>
    <comment ref="M40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N40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Q40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R40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S40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V40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W40" authorId="0" shapeId="0">
      <text>
        <r>
          <rPr>
            <sz val="11"/>
            <color indexed="81"/>
            <rFont val="Tahoma"/>
            <family val="2"/>
          </rPr>
          <t xml:space="preserve">input cost k€/y
</t>
        </r>
      </text>
    </comment>
    <comment ref="X40" authorId="0" shapeId="0">
      <text>
        <r>
          <rPr>
            <sz val="11"/>
            <color indexed="81"/>
            <rFont val="Tahoma"/>
            <family val="2"/>
          </rPr>
          <t>cap (TW)
the last Magnox - Wylfa - will close in 2010</t>
        </r>
      </text>
    </comment>
    <comment ref="AA40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M41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N41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O41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P41" authorId="0" shapeId="0">
      <text>
        <r>
          <rPr>
            <sz val="11"/>
            <color indexed="81"/>
            <rFont val="Tahoma"/>
            <family val="2"/>
          </rPr>
          <t xml:space="preserve">k€/tU/y)
</t>
        </r>
      </text>
    </comment>
    <comment ref="Q41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R41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S41" authorId="0" shapeId="0">
      <text>
        <r>
          <rPr>
            <sz val="11"/>
            <color indexed="81"/>
            <rFont val="Tahoma"/>
            <family val="2"/>
          </rPr>
          <t xml:space="preserve">INVCOST k€/(tU/y)
</t>
        </r>
      </text>
    </comment>
    <comment ref="T41" authorId="0" shapeId="0">
      <text>
        <r>
          <rPr>
            <sz val="11"/>
            <color indexed="81"/>
            <rFont val="Tahoma"/>
            <family val="2"/>
          </rPr>
          <t xml:space="preserve">FIXOM
k€/y/(tU/y)
</t>
        </r>
      </text>
    </comment>
    <comment ref="U41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V41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Z41" authorId="0" shapeId="0">
      <text>
        <r>
          <rPr>
            <sz val="11"/>
            <color indexed="81"/>
            <rFont val="Tahoma"/>
            <family val="2"/>
          </rPr>
          <t xml:space="preserve">1.832 c$/kWh
</t>
        </r>
      </text>
    </comment>
    <comment ref="AA41" authorId="0" shapeId="0">
      <text>
        <r>
          <rPr>
            <sz val="11"/>
            <color indexed="81"/>
            <rFont val="Tahoma"/>
            <family val="2"/>
          </rPr>
          <t xml:space="preserve">TWh/y
</t>
        </r>
      </text>
    </comment>
    <comment ref="M42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N42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O42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P42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Q42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R42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S42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T42" authorId="0" shapeId="0">
      <text>
        <r>
          <rPr>
            <sz val="11"/>
            <color indexed="81"/>
            <rFont val="Tahoma"/>
            <family val="2"/>
          </rPr>
          <t xml:space="preserve">Plant LIFE
</t>
        </r>
      </text>
    </comment>
    <comment ref="U42" authorId="0" shapeId="0">
      <text>
        <r>
          <rPr>
            <sz val="11"/>
            <color indexed="81"/>
            <rFont val="Tahoma"/>
            <family val="2"/>
          </rPr>
          <t xml:space="preserve">Plant Availability
</t>
        </r>
      </text>
    </comment>
    <comment ref="V42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AA42" authorId="0" shapeId="0">
      <text>
        <r>
          <rPr>
            <sz val="9"/>
            <color indexed="81"/>
            <rFont val="Tahoma"/>
            <family val="2"/>
          </rPr>
          <t>€/kWh</t>
        </r>
      </text>
    </comment>
  </commentList>
</comments>
</file>

<file path=xl/comments3.xml><?xml version="1.0" encoding="utf-8"?>
<comments xmlns="http://schemas.openxmlformats.org/spreadsheetml/2006/main">
  <authors>
    <author>lavagno</author>
  </authors>
  <commentList>
    <comment ref="H11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11" authorId="0" shapeId="0">
      <text>
        <r>
          <rPr>
            <sz val="10"/>
            <color indexed="81"/>
            <rFont val="Tahoma"/>
            <family val="2"/>
          </rPr>
          <t>Length km
by truck</t>
        </r>
      </text>
    </comment>
    <comment ref="AD11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H23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23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Y23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H35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35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Y35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H47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47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Y47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O59" authorId="0" shapeId="0">
      <text>
        <r>
          <rPr>
            <sz val="10"/>
            <color indexed="81"/>
            <rFont val="Tahoma"/>
            <family val="2"/>
          </rPr>
          <t>Length km
by truck</t>
        </r>
      </text>
    </comment>
    <comment ref="T59" authorId="0" shapeId="0">
      <text>
        <r>
          <rPr>
            <sz val="10"/>
            <color indexed="81"/>
            <rFont val="Tahoma"/>
            <family val="2"/>
          </rPr>
          <t>Length km
by rail</t>
        </r>
      </text>
    </comment>
    <comment ref="AD59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O71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T71" authorId="0" shapeId="0">
      <text>
        <r>
          <rPr>
            <sz val="10"/>
            <color indexed="81"/>
            <rFont val="Tahoma"/>
            <family val="2"/>
          </rPr>
          <t>Length km
by rail</t>
        </r>
      </text>
    </comment>
    <comment ref="Y71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</commentList>
</comments>
</file>

<file path=xl/comments4.xml><?xml version="1.0" encoding="utf-8"?>
<comments xmlns="http://schemas.openxmlformats.org/spreadsheetml/2006/main">
  <authors>
    <author>Lavagno</author>
    <author>lavagno</author>
  </authors>
  <commentList>
    <comment ref="AE3" authorId="0" shapeId="0">
      <text>
        <r>
          <rPr>
            <sz val="8"/>
            <color indexed="81"/>
            <rFont val="Tahoma"/>
            <family val="2"/>
          </rPr>
          <t>MW</t>
        </r>
        <r>
          <rPr>
            <sz val="8"/>
            <color indexed="81"/>
            <rFont val="Tahoma"/>
          </rPr>
          <t xml:space="preserve">
</t>
        </r>
      </text>
    </comment>
    <comment ref="AD4" authorId="0" shapeId="0">
      <text>
        <r>
          <rPr>
            <sz val="8"/>
            <color indexed="81"/>
            <rFont val="Tahoma"/>
            <family val="2"/>
          </rPr>
          <t>tHM enriched</t>
        </r>
        <r>
          <rPr>
            <sz val="8"/>
            <color indexed="81"/>
            <rFont val="Tahoma"/>
          </rPr>
          <t xml:space="preserve">
</t>
        </r>
      </text>
    </comment>
    <comment ref="AH4" authorId="0" shapeId="0">
      <text>
        <r>
          <rPr>
            <sz val="8"/>
            <color indexed="81"/>
            <rFont val="Tahoma"/>
            <family val="2"/>
          </rPr>
          <t>TWh</t>
        </r>
      </text>
    </comment>
    <comment ref="AO4" authorId="0" shapeId="0">
      <text>
        <r>
          <rPr>
            <sz val="8"/>
            <color indexed="81"/>
            <rFont val="Tahoma"/>
            <family val="2"/>
          </rPr>
          <t>GWh/y
to convert into PJ/y
multiply  x 3.6</t>
        </r>
      </text>
    </comment>
    <comment ref="AD7" authorId="0" shapeId="0">
      <text>
        <r>
          <rPr>
            <sz val="8"/>
            <color indexed="81"/>
            <rFont val="Tahoma"/>
            <family val="2"/>
          </rPr>
          <t>TWh/tHM</t>
        </r>
        <r>
          <rPr>
            <sz val="8"/>
            <color indexed="81"/>
            <rFont val="Tahoma"/>
          </rPr>
          <t xml:space="preserve">
</t>
        </r>
      </text>
    </comment>
    <comment ref="P8" authorId="0" shapeId="0">
      <text>
        <r>
          <rPr>
            <sz val="8"/>
            <color indexed="81"/>
            <rFont val="Tahoma"/>
            <family val="2"/>
          </rPr>
          <t>before enrichment
= imported</t>
        </r>
      </text>
    </comment>
    <comment ref="P9" authorId="0" shapeId="0">
      <text>
        <r>
          <rPr>
            <sz val="8"/>
            <color indexed="81"/>
            <rFont val="Tahoma"/>
            <family val="2"/>
          </rPr>
          <t>enriched</t>
        </r>
        <r>
          <rPr>
            <sz val="8"/>
            <color indexed="81"/>
            <rFont val="Tahoma"/>
          </rPr>
          <t xml:space="preserve">
</t>
        </r>
      </text>
    </comment>
    <comment ref="AA12" authorId="0" shapeId="0">
      <text>
        <r>
          <rPr>
            <sz val="8"/>
            <color indexed="81"/>
            <rFont val="Tahoma"/>
            <family val="2"/>
          </rPr>
          <t xml:space="preserve">TOT Cap [MW]
</t>
        </r>
      </text>
    </comment>
    <comment ref="AJ15" authorId="0" shapeId="0">
      <text>
        <r>
          <rPr>
            <sz val="8"/>
            <color indexed="81"/>
            <rFont val="Tahoma"/>
          </rPr>
          <t>TWh/y</t>
        </r>
      </text>
    </comment>
    <comment ref="AE16" authorId="0" shapeId="0">
      <text>
        <r>
          <rPr>
            <sz val="8"/>
            <color indexed="81"/>
            <rFont val="Tahoma"/>
            <family val="2"/>
          </rPr>
          <t>CAP [MW]</t>
        </r>
        <r>
          <rPr>
            <sz val="8"/>
            <color indexed="81"/>
            <rFont val="Tahoma"/>
          </rPr>
          <t xml:space="preserve">
</t>
        </r>
      </text>
    </comment>
    <comment ref="D17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I17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17" authorId="0" shapeId="0">
      <text>
        <r>
          <rPr>
            <sz val="8"/>
            <color indexed="81"/>
            <rFont val="Tahoma"/>
            <family val="2"/>
          </rPr>
          <t>tHM
120 PWR
4 MOX</t>
        </r>
      </text>
    </comment>
    <comment ref="M18" authorId="0" shapeId="0">
      <text>
        <r>
          <rPr>
            <sz val="8"/>
            <color indexed="81"/>
            <rFont val="Tahoma"/>
            <family val="2"/>
          </rPr>
          <t>tHM</t>
        </r>
        <r>
          <rPr>
            <sz val="8"/>
            <color indexed="81"/>
            <rFont val="Tahoma"/>
          </rPr>
          <t xml:space="preserve">
</t>
        </r>
      </text>
    </comment>
    <comment ref="N18" authorId="0" shapeId="0">
      <text>
        <r>
          <rPr>
            <sz val="8"/>
            <color indexed="81"/>
            <rFont val="Tahoma"/>
            <family val="2"/>
          </rPr>
          <t>TOT ACT [TWh]</t>
        </r>
      </text>
    </comment>
    <comment ref="AG18" authorId="0" shapeId="0">
      <text>
        <r>
          <rPr>
            <sz val="8"/>
            <color indexed="81"/>
            <rFont val="Tahoma"/>
            <family val="2"/>
          </rPr>
          <t>AF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J19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AI19" authorId="0" shapeId="0">
      <text>
        <r>
          <rPr>
            <sz val="8"/>
            <color indexed="81"/>
            <rFont val="Tahoma"/>
            <family val="2"/>
          </rPr>
          <t>ACT [TWh]</t>
        </r>
      </text>
    </comment>
    <comment ref="AD2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25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N26" authorId="0" shapeId="0">
      <text>
        <r>
          <rPr>
            <sz val="8"/>
            <color indexed="81"/>
            <rFont val="Tahoma"/>
            <family val="2"/>
          </rPr>
          <t>TOT ACT [TWh]</t>
        </r>
      </text>
    </comment>
    <comment ref="J27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AD27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28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D3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33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3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41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4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4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49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5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57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5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6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D65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I65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6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E67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AD6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70" authorId="0" shapeId="0">
      <text>
        <r>
          <rPr>
            <sz val="8"/>
            <color indexed="81"/>
            <rFont val="Tahoma"/>
            <family val="2"/>
          </rPr>
          <t xml:space="preserve">estimated
</t>
        </r>
      </text>
    </comment>
    <comment ref="I73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7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7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81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8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89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9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92" authorId="0" shapeId="0">
      <text>
        <r>
          <rPr>
            <sz val="8"/>
            <color indexed="81"/>
            <rFont val="Tahoma"/>
            <family val="2"/>
          </rPr>
          <t xml:space="preserve">estimated
</t>
        </r>
      </text>
    </comment>
    <comment ref="AD9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98" authorId="0" shapeId="0">
      <text>
        <r>
          <rPr>
            <sz val="8"/>
            <color indexed="81"/>
            <rFont val="Tahoma"/>
            <family val="2"/>
          </rPr>
          <t>estimate</t>
        </r>
        <r>
          <rPr>
            <sz val="8"/>
            <color indexed="81"/>
            <rFont val="Tahoma"/>
          </rPr>
          <t xml:space="preserve">
</t>
        </r>
      </text>
    </comment>
    <comment ref="AD103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04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D107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08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C112" authorId="1" shapeId="0">
      <text>
        <r>
          <rPr>
            <sz val="8"/>
            <color indexed="81"/>
            <rFont val="Tahoma"/>
            <family val="2"/>
          </rPr>
          <t xml:space="preserve">jointly owned with Croatia
</t>
        </r>
      </text>
    </comment>
    <comment ref="AD113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14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D11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23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24" authorId="0" shapeId="0">
      <text>
        <r>
          <rPr>
            <sz val="8"/>
            <color indexed="81"/>
            <rFont val="Tahoma"/>
            <family val="2"/>
          </rPr>
          <t xml:space="preserve">everage BWR
</t>
        </r>
      </text>
    </comment>
    <comment ref="AD12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33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39" authorId="0" shapeId="0">
      <text>
        <r>
          <rPr>
            <sz val="8"/>
            <color indexed="81"/>
            <rFont val="Tahoma"/>
            <family val="2"/>
          </rPr>
          <t xml:space="preserve">tHM
47 LWR
12 MOX
</t>
        </r>
      </text>
    </comment>
    <comment ref="AD143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49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D15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5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160" authorId="0" shapeId="0">
      <text>
        <r>
          <rPr>
            <b/>
            <sz val="8"/>
            <color indexed="81"/>
            <rFont val="Tahoma"/>
          </rPr>
          <t>GCR average</t>
        </r>
        <r>
          <rPr>
            <sz val="8"/>
            <color indexed="81"/>
            <rFont val="Tahoma"/>
          </rPr>
          <t xml:space="preserve">
</t>
        </r>
      </text>
    </comment>
    <comment ref="AD163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6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</commentList>
</comments>
</file>

<file path=xl/sharedStrings.xml><?xml version="1.0" encoding="utf-8"?>
<sst xmlns="http://schemas.openxmlformats.org/spreadsheetml/2006/main" count="640" uniqueCount="366">
  <si>
    <t>Mining and milling</t>
  </si>
  <si>
    <t>Conversion</t>
  </si>
  <si>
    <t>Enrichment</t>
  </si>
  <si>
    <t>Fuel Fabrication  (LWR)</t>
  </si>
  <si>
    <t>LWR operation (2005)</t>
  </si>
  <si>
    <t>Canada, Australia, Niger, Namibia</t>
  </si>
  <si>
    <t>UK, France</t>
  </si>
  <si>
    <t>continental EU nuclear countries</t>
  </si>
  <si>
    <t>diffusion</t>
  </si>
  <si>
    <t>Fuel fabrication</t>
  </si>
  <si>
    <t>Power</t>
  </si>
  <si>
    <t>GW</t>
  </si>
  <si>
    <t>EURODIF Tricastin</t>
  </si>
  <si>
    <t>FBFC Romans-sur-Isère</t>
  </si>
  <si>
    <t>AF</t>
  </si>
  <si>
    <r>
      <t>10.8 10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 xml:space="preserve"> SWU</t>
    </r>
  </si>
  <si>
    <t>750 tU/y</t>
  </si>
  <si>
    <t>energy</t>
  </si>
  <si>
    <t>GWh/year</t>
  </si>
  <si>
    <t>tU/year</t>
  </si>
  <si>
    <t xml:space="preserve">Enrichment facility (diffusion) </t>
  </si>
  <si>
    <t>PWR fuel fabrication</t>
  </si>
  <si>
    <t>LWR plants</t>
  </si>
  <si>
    <t>All LWR</t>
  </si>
  <si>
    <t>PJ/year</t>
  </si>
  <si>
    <t>fuel cost</t>
  </si>
  <si>
    <t>M€/year</t>
  </si>
  <si>
    <t>elc fuel cost</t>
  </si>
  <si>
    <t>€/kWh</t>
  </si>
  <si>
    <t>from the corridors flow-chart:</t>
  </si>
  <si>
    <t>centrifuge</t>
  </si>
  <si>
    <t>UK  LWR operation (2005)</t>
  </si>
  <si>
    <t>Springsfields</t>
  </si>
  <si>
    <t>URENCO Capenhurst</t>
  </si>
  <si>
    <t>from Canada</t>
  </si>
  <si>
    <t xml:space="preserve"> to UK</t>
  </si>
  <si>
    <r>
      <t>1.1 10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 xml:space="preserve"> SWU</t>
    </r>
  </si>
  <si>
    <t>330 tU/y</t>
  </si>
  <si>
    <t>from Australia</t>
  </si>
  <si>
    <t xml:space="preserve"> to France</t>
  </si>
  <si>
    <t>from Niger</t>
  </si>
  <si>
    <t xml:space="preserve">Enrichment facility (centrifuge) </t>
  </si>
  <si>
    <t>from Namibia</t>
  </si>
  <si>
    <t>Total</t>
  </si>
  <si>
    <t>UK  AGR + Magnox operation (2005)</t>
  </si>
  <si>
    <t>Springfields</t>
  </si>
  <si>
    <t>GCR fuel fabrication</t>
  </si>
  <si>
    <t>AGR + Magnox plants</t>
  </si>
  <si>
    <t>Country</t>
  </si>
  <si>
    <t>Owner</t>
  </si>
  <si>
    <t>Plant</t>
  </si>
  <si>
    <t>Capacity</t>
  </si>
  <si>
    <t>(SWU)</t>
  </si>
  <si>
    <t>Plant name</t>
  </si>
  <si>
    <t>capital costs (OECD study)</t>
  </si>
  <si>
    <t>generating costs</t>
  </si>
  <si>
    <t>Diffusion plants</t>
  </si>
  <si>
    <t>$/kW</t>
  </si>
  <si>
    <t>€/kW</t>
  </si>
  <si>
    <t>EPC study</t>
  </si>
  <si>
    <t>c$/kWh</t>
  </si>
  <si>
    <t>%</t>
  </si>
  <si>
    <t>Dessel (Belgium)</t>
  </si>
  <si>
    <t>SKO</t>
  </si>
  <si>
    <t>APR-1400</t>
  </si>
  <si>
    <t>BE</t>
  </si>
  <si>
    <t>France</t>
  </si>
  <si>
    <t>EURODIF</t>
  </si>
  <si>
    <t>Tricastin</t>
  </si>
  <si>
    <t>Romans-sur-Isère (France)</t>
  </si>
  <si>
    <t>JPN</t>
  </si>
  <si>
    <t>ABWR</t>
  </si>
  <si>
    <t>CZ</t>
  </si>
  <si>
    <t>M&amp;M</t>
  </si>
  <si>
    <t>M€/tU</t>
  </si>
  <si>
    <t>Lingen (Germany)</t>
  </si>
  <si>
    <t>USA</t>
  </si>
  <si>
    <t>Gen III+</t>
  </si>
  <si>
    <t>FR</t>
  </si>
  <si>
    <t xml:space="preserve">Total </t>
  </si>
  <si>
    <t>Juzbado (Spain)</t>
  </si>
  <si>
    <t>EPR</t>
  </si>
  <si>
    <t>DE</t>
  </si>
  <si>
    <t>Västerås (Sweden)</t>
  </si>
  <si>
    <t>CH</t>
  </si>
  <si>
    <t>HU</t>
  </si>
  <si>
    <t>Centrifuge plants</t>
  </si>
  <si>
    <t>Springfields (UK)</t>
  </si>
  <si>
    <t>World median</t>
  </si>
  <si>
    <t>JP</t>
  </si>
  <si>
    <t>BE,NL,CZ,HU</t>
  </si>
  <si>
    <t>George Besse II, Tricastin</t>
  </si>
  <si>
    <t>CHI</t>
  </si>
  <si>
    <t>CPR-1000</t>
  </si>
  <si>
    <t>Fuel fabr.</t>
  </si>
  <si>
    <t>Germany</t>
  </si>
  <si>
    <t>URENCO</t>
  </si>
  <si>
    <t>Gronau</t>
  </si>
  <si>
    <t>AP-1000</t>
  </si>
  <si>
    <t>NL</t>
  </si>
  <si>
    <t>Netherlands</t>
  </si>
  <si>
    <t>Almelo</t>
  </si>
  <si>
    <t>RU</t>
  </si>
  <si>
    <t>VVER-1150</t>
  </si>
  <si>
    <t>UK</t>
  </si>
  <si>
    <t>Capenhurst</t>
  </si>
  <si>
    <t>EPRI</t>
  </si>
  <si>
    <t>APWR/ABWR</t>
  </si>
  <si>
    <t>Eurelectric</t>
  </si>
  <si>
    <t>Investment</t>
  </si>
  <si>
    <t>M€</t>
  </si>
  <si>
    <t>CEZ</t>
  </si>
  <si>
    <t>Life</t>
  </si>
  <si>
    <t>capital</t>
  </si>
  <si>
    <t>invcost</t>
  </si>
  <si>
    <t>M€/GW</t>
  </si>
  <si>
    <t>fixom</t>
  </si>
  <si>
    <t>EPRI (USA)</t>
  </si>
  <si>
    <t>Inv per year</t>
  </si>
  <si>
    <t xml:space="preserve"> fuelcost</t>
  </si>
  <si>
    <t>TOTAL</t>
  </si>
  <si>
    <t>x</t>
  </si>
  <si>
    <t>NUC flow-chart    data in t/y</t>
  </si>
  <si>
    <t>NUC_SHP_001_A</t>
  </si>
  <si>
    <r>
      <t>U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8</t>
    </r>
  </si>
  <si>
    <r>
      <t>UF</t>
    </r>
    <r>
      <rPr>
        <b/>
        <vertAlign val="subscript"/>
        <sz val="12"/>
        <rFont val="Arial"/>
        <family val="2"/>
      </rPr>
      <t>6</t>
    </r>
  </si>
  <si>
    <t>Canada - UK</t>
  </si>
  <si>
    <t>Canada</t>
  </si>
  <si>
    <t>Atlantic route</t>
  </si>
  <si>
    <t>Athabaska Basin</t>
  </si>
  <si>
    <t>Blind R./ Port Hope</t>
  </si>
  <si>
    <t>Port Hope terminal</t>
  </si>
  <si>
    <t>Preston</t>
  </si>
  <si>
    <t>Preston terminal</t>
  </si>
  <si>
    <t>proven</t>
  </si>
  <si>
    <t>probable</t>
  </si>
  <si>
    <t>extraction</t>
  </si>
  <si>
    <t>NUC_SHP_001_A1</t>
  </si>
  <si>
    <t>conversion</t>
  </si>
  <si>
    <t>NUC_SHP_001_A2</t>
  </si>
  <si>
    <t>possible</t>
  </si>
  <si>
    <t>RAR+IR</t>
  </si>
  <si>
    <t>NUC_SHP_001_B</t>
  </si>
  <si>
    <t>To UK PWR (Sizewell B) fuel fabrication chain</t>
  </si>
  <si>
    <t>To UK AGR &amp; Magnox fuel fabrication chain</t>
  </si>
  <si>
    <t>NUC_SHP_001_B1</t>
  </si>
  <si>
    <t>NUC_SHP_001_B2</t>
  </si>
  <si>
    <t>r</t>
  </si>
  <si>
    <t>NUC_SHP_002</t>
  </si>
  <si>
    <t>Australia - France</t>
  </si>
  <si>
    <t>Australia</t>
  </si>
  <si>
    <t>Ranger</t>
  </si>
  <si>
    <t xml:space="preserve">Ranger </t>
  </si>
  <si>
    <t>Darwin</t>
  </si>
  <si>
    <t>Darwin terminal</t>
  </si>
  <si>
    <t>NUC_SHP_002_1</t>
  </si>
  <si>
    <t>NUC_SHP_002_2</t>
  </si>
  <si>
    <t>NUC_SHP_003</t>
  </si>
  <si>
    <t>Olympic Dam</t>
  </si>
  <si>
    <t>Adelaide</t>
  </si>
  <si>
    <t>Adelaide terminal</t>
  </si>
  <si>
    <t>Jubilee</t>
  </si>
  <si>
    <t>Beverley</t>
  </si>
  <si>
    <t>NUC_SHP_003_01</t>
  </si>
  <si>
    <t>NUC_SHP_003_02</t>
  </si>
  <si>
    <t>NUC_SHP_004</t>
  </si>
  <si>
    <t>Niger - France</t>
  </si>
  <si>
    <t>Niger</t>
  </si>
  <si>
    <t>Benin</t>
  </si>
  <si>
    <t>To other EU LWR fuel fabrication chain</t>
  </si>
  <si>
    <t>Arlit Region</t>
  </si>
  <si>
    <t>Arlit</t>
  </si>
  <si>
    <t>Parakou</t>
  </si>
  <si>
    <t>Cotonou</t>
  </si>
  <si>
    <t>Cotonou terminal</t>
  </si>
  <si>
    <t>Le Havre terminal</t>
  </si>
  <si>
    <t>NUC_SHP_004_01</t>
  </si>
  <si>
    <t>NUC_SHP_004_02</t>
  </si>
  <si>
    <t>NUC_SHP_004_04</t>
  </si>
  <si>
    <t>NUC_SHP_005</t>
  </si>
  <si>
    <t>Namibia - France</t>
  </si>
  <si>
    <t>Namibia</t>
  </si>
  <si>
    <t>Rőssing</t>
  </si>
  <si>
    <t>Walvis Bay</t>
  </si>
  <si>
    <t>Walvis Bay terminal</t>
  </si>
  <si>
    <t>NUC_SHP_005_01</t>
  </si>
  <si>
    <t>NUC_SHP_005_02</t>
  </si>
  <si>
    <t>Kazakhstan</t>
  </si>
  <si>
    <t>Uzbekistan</t>
  </si>
  <si>
    <t>South Africa</t>
  </si>
  <si>
    <t>Brazil</t>
  </si>
  <si>
    <t>EU27+</t>
  </si>
  <si>
    <t>year 2006</t>
  </si>
  <si>
    <t>values for UF= average or estimate from reactor data</t>
  </si>
  <si>
    <t>Number</t>
  </si>
  <si>
    <t>Type</t>
  </si>
  <si>
    <t>CAP (tot)</t>
  </si>
  <si>
    <t>MTIHM</t>
  </si>
  <si>
    <t>ACT</t>
  </si>
  <si>
    <t>eff</t>
  </si>
  <si>
    <t>LIFE</t>
  </si>
  <si>
    <t>FC</t>
  </si>
  <si>
    <t>LWR</t>
  </si>
  <si>
    <t>Unat</t>
  </si>
  <si>
    <t>Uenr</t>
  </si>
  <si>
    <t>tU</t>
  </si>
  <si>
    <t>number</t>
  </si>
  <si>
    <t>A typical LWR (900 MW(e)) in current operation uses about 160 t of natural uranium annually and needs about b annually. In cases where fuel is made from natural uranium, it is enriched to about 4% of 235U from roughly 160 t of UF6 feed through the expenditure of about 10 000 SWU.</t>
  </si>
  <si>
    <t>Energy</t>
  </si>
  <si>
    <t>Material</t>
  </si>
  <si>
    <t>PBMR</t>
  </si>
  <si>
    <t>FBR</t>
  </si>
  <si>
    <t>RBMK</t>
  </si>
  <si>
    <t>CANDU</t>
  </si>
  <si>
    <t>MAGNOX</t>
  </si>
  <si>
    <t>AGR</t>
  </si>
  <si>
    <t>VVER</t>
  </si>
  <si>
    <t>BWR</t>
  </si>
  <si>
    <t>PWR</t>
  </si>
  <si>
    <t>Total EU</t>
  </si>
  <si>
    <t>GWh</t>
  </si>
  <si>
    <t>LWR Enrichment</t>
  </si>
  <si>
    <t>Belgium</t>
  </si>
  <si>
    <t>GWs</t>
  </si>
  <si>
    <t>PJ</t>
  </si>
  <si>
    <t>BWR fuel fabrication</t>
  </si>
  <si>
    <t>Bulgaria</t>
  </si>
  <si>
    <t>Magnox fuel fabrication</t>
  </si>
  <si>
    <t>Czeck R.</t>
  </si>
  <si>
    <t>AGR fuel fabrication</t>
  </si>
  <si>
    <t>Reactors</t>
  </si>
  <si>
    <t>(MW)</t>
  </si>
  <si>
    <t>ARGENTINA</t>
  </si>
  <si>
    <t>ARMENIA</t>
  </si>
  <si>
    <t>BELGIUM</t>
  </si>
  <si>
    <t>Finland</t>
  </si>
  <si>
    <t>BRAZIL</t>
  </si>
  <si>
    <t>BULGARIA</t>
  </si>
  <si>
    <t>CANDU  fuel fabrication</t>
  </si>
  <si>
    <t>CANADA</t>
  </si>
  <si>
    <t>CHINA</t>
  </si>
  <si>
    <t>CZECH</t>
  </si>
  <si>
    <t>FINLAND</t>
  </si>
  <si>
    <t>FRANCE</t>
  </si>
  <si>
    <t>GERMANY</t>
  </si>
  <si>
    <t>HUNGARY</t>
  </si>
  <si>
    <t>INDIA</t>
  </si>
  <si>
    <t>FBR  fuel fabrication</t>
  </si>
  <si>
    <t>JAPAN</t>
  </si>
  <si>
    <t>KOREA</t>
  </si>
  <si>
    <t>LITHUANIA</t>
  </si>
  <si>
    <t>MEXICO</t>
  </si>
  <si>
    <t>NETHLNDS</t>
  </si>
  <si>
    <t>PAKISTAN</t>
  </si>
  <si>
    <t>ROMANIA</t>
  </si>
  <si>
    <t>RUSSIA</t>
  </si>
  <si>
    <t>VVER Enrichment</t>
  </si>
  <si>
    <t>VVER  fuel fabrication</t>
  </si>
  <si>
    <t>S.AFRICA</t>
  </si>
  <si>
    <t>SLOVAKIA</t>
  </si>
  <si>
    <t>SLOVENIA</t>
  </si>
  <si>
    <t>SPAIN</t>
  </si>
  <si>
    <t>SWEDEN</t>
  </si>
  <si>
    <t>SWITZRLD</t>
  </si>
  <si>
    <t>UKRAINE</t>
  </si>
  <si>
    <t>RBMK fuel fabrication</t>
  </si>
  <si>
    <t>yellow - EU</t>
  </si>
  <si>
    <t>MW</t>
  </si>
  <si>
    <t>EPR  fuel fabrication</t>
  </si>
  <si>
    <t>Hungary</t>
  </si>
  <si>
    <t>VVER440/V-213</t>
  </si>
  <si>
    <t>PBMR  fuel fabrication</t>
  </si>
  <si>
    <t>Lithuania</t>
  </si>
  <si>
    <t>Romania</t>
  </si>
  <si>
    <t>Slovakia</t>
  </si>
  <si>
    <t>Slovenia</t>
  </si>
  <si>
    <t>Spain</t>
  </si>
  <si>
    <t>Sweden</t>
  </si>
  <si>
    <t>Switzerland</t>
  </si>
  <si>
    <t>The Netherlands</t>
  </si>
  <si>
    <t>TWh/y</t>
  </si>
  <si>
    <t>United Kingdom</t>
  </si>
  <si>
    <t>New EPR</t>
  </si>
  <si>
    <t>Nuclear Chain inside Europe</t>
  </si>
  <si>
    <t>~FI_T</t>
  </si>
  <si>
    <t>TechName</t>
  </si>
  <si>
    <t>TechDesc</t>
  </si>
  <si>
    <t>Comm-IN</t>
  </si>
  <si>
    <t>Comm-OUT</t>
  </si>
  <si>
    <t>EFF</t>
  </si>
  <si>
    <t>STOCK</t>
  </si>
  <si>
    <t>AFA</t>
  </si>
  <si>
    <t>FIXOM</t>
  </si>
  <si>
    <t>INVCOST</t>
  </si>
  <si>
    <t>VAROM</t>
  </si>
  <si>
    <t>CAP2ACT</t>
  </si>
  <si>
    <t>* Comment row</t>
  </si>
  <si>
    <t>Fraction</t>
  </si>
  <si>
    <t>tUa</t>
  </si>
  <si>
    <t>M€/tU/y</t>
  </si>
  <si>
    <t>SCONNUCC00</t>
  </si>
  <si>
    <t>Conversion Continent</t>
  </si>
  <si>
    <t>NUCCONC</t>
  </si>
  <si>
    <t>SCONNUCS00</t>
  </si>
  <si>
    <t>Conversion Springsfields</t>
  </si>
  <si>
    <t>NUCCONS</t>
  </si>
  <si>
    <t>SENRDIFFU00</t>
  </si>
  <si>
    <t>Enrichment EURODIF Tricastin (diffusion)</t>
  </si>
  <si>
    <t>NUCENRE</t>
  </si>
  <si>
    <t>SENRCENTP00</t>
  </si>
  <si>
    <t xml:space="preserve">Enrichment URENCO Capenhurst (centrifuge for PWR) </t>
  </si>
  <si>
    <t>NUCENRU1</t>
  </si>
  <si>
    <t>SENRCENTG00</t>
  </si>
  <si>
    <t xml:space="preserve">Enrichment URENCO Capenhurst (centrifuge for GCR) </t>
  </si>
  <si>
    <t>NUCENRU2</t>
  </si>
  <si>
    <t>SFUELFABR00</t>
  </si>
  <si>
    <t>Fuel fabrication FBFC Romans-sur-Isere</t>
  </si>
  <si>
    <t>NUCLWR</t>
  </si>
  <si>
    <t>SFUELFABC00</t>
  </si>
  <si>
    <t>Fuel fabrication URENCO Capenhurst</t>
  </si>
  <si>
    <t>SFUELFABS00</t>
  </si>
  <si>
    <t>Fuel fabrication Springsfields</t>
  </si>
  <si>
    <t>NUCAGR</t>
  </si>
  <si>
    <t>~FI_Process</t>
  </si>
  <si>
    <t>Sets</t>
  </si>
  <si>
    <t>Tact</t>
  </si>
  <si>
    <t>Tcap</t>
  </si>
  <si>
    <t>Tslvl</t>
  </si>
  <si>
    <t>PrimaryCG</t>
  </si>
  <si>
    <t>Vintage</t>
  </si>
  <si>
    <t>PRE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</si>
  <si>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</si>
  <si>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</si>
  <si>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</si>
  <si>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</si>
  <si>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</si>
  <si>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</si>
  <si>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</si>
  <si>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</si>
  <si>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Nuclear converted material Continent</t>
  </si>
  <si>
    <t>Nuclear converted material Springsfields</t>
  </si>
  <si>
    <t>Nuclear enriched material from diffusion</t>
  </si>
  <si>
    <t>Nuclear enriched material from centrifuge (for PWR)</t>
  </si>
  <si>
    <t>Nuclear enriched material from centrifuge (for GCR)</t>
  </si>
  <si>
    <t>Nuclear fuel for LWR plants</t>
  </si>
  <si>
    <t>Nuclear fuel for AGR plants</t>
  </si>
  <si>
    <t>MAT</t>
  </si>
  <si>
    <t>ELCNUC100</t>
  </si>
  <si>
    <t>ELCNUC200</t>
  </si>
  <si>
    <t>ELCNUC300</t>
  </si>
  <si>
    <t>Fuel Tech - Nuclear LWR Continent (ELC)</t>
  </si>
  <si>
    <t>Fuel Tech - Nuclear LWR UK (ELC)</t>
  </si>
  <si>
    <t>Fuel Tech - Nuclear AGR UK (ELC)</t>
  </si>
  <si>
    <t>ELCNUC</t>
  </si>
  <si>
    <t>ELCNUCA</t>
  </si>
  <si>
    <t>STOCK~2050</t>
  </si>
  <si>
    <t>IMPELCNUCR</t>
  </si>
  <si>
    <t>Import of nuclear fuel from ROW</t>
  </si>
  <si>
    <t>COST</t>
  </si>
  <si>
    <t>IMP</t>
  </si>
  <si>
    <t>IMPNUCU308</t>
  </si>
  <si>
    <t>Import of Uranium 308 from ROW</t>
  </si>
  <si>
    <t>NUCU308</t>
  </si>
  <si>
    <t>Nuclear material U308</t>
  </si>
  <si>
    <t>DISCRATE</t>
  </si>
  <si>
    <t>MovedToSysSettings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</si>
</sst>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4" formatCode="0.0"/>
    <numFmt numFmtId="185" formatCode="0.000"/>
    <numFmt numFmtId="186" formatCode="0.0000"/>
    <numFmt numFmtId="187" formatCode="0.00000"/>
    <numFmt numFmtId="188" formatCode="\Te\x\t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</font>
    <font>
      <sz val="12"/>
      <name val="Arial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</font>
    <font>
      <b/>
      <sz val="14"/>
      <name val="Arial"/>
      <family val="2"/>
    </font>
    <font>
      <b/>
      <vertAlign val="subscript"/>
      <sz val="12"/>
      <name val="Arial"/>
      <family val="2"/>
    </font>
    <font>
      <b/>
      <sz val="10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</font>
    <font>
      <sz val="10"/>
      <color indexed="22"/>
      <name val="Arial"/>
    </font>
    <font>
      <sz val="10"/>
      <color indexed="81"/>
      <name val="Tahoma"/>
      <family val="2"/>
    </font>
    <font>
      <sz val="12"/>
      <color indexed="48"/>
      <name val="Arial"/>
      <family val="2"/>
    </font>
    <font>
      <sz val="12"/>
      <color indexed="10"/>
      <name val="Arial"/>
      <family val="2"/>
    </font>
    <font>
      <u/>
      <sz val="10"/>
      <color indexed="12"/>
      <name val="Arial"/>
    </font>
    <font>
      <sz val="10"/>
      <color indexed="9"/>
      <name val="Arial"/>
    </font>
    <font>
      <sz val="8"/>
      <color indexed="81"/>
      <name val="Tahoma"/>
      <family val="2"/>
    </font>
    <font>
      <b/>
      <sz val="8"/>
      <color indexed="81"/>
      <name val="Tahoma"/>
    </font>
    <font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9"/>
      <color indexed="81"/>
      <name val="Tahoma"/>
      <charset val="1"/>
    </font>
    <font>
      <sz val="12"/>
      <color indexed="81"/>
      <name val="Tahoma"/>
      <family val="2"/>
    </font>
    <font>
      <b/>
      <sz val="9"/>
      <color indexed="12"/>
      <name val="Arial"/>
      <family val="2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50">
    <xf numFmtId="0" fontId="0" fillId="0" borderId="0" xfId="0"/>
    <xf numFmtId="0" fontId="2" fillId="0" borderId="0" xfId="0" applyFont="1"/>
    <xf numFmtId="0" fontId="3" fillId="2" borderId="0" xfId="0" applyFont="1" applyFill="1" applyBorder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 applyAlignment="1">
      <alignment horizontal="center"/>
    </xf>
    <xf numFmtId="0" fontId="5" fillId="3" borderId="0" xfId="0" applyFont="1" applyFill="1" applyBorder="1"/>
    <xf numFmtId="0" fontId="0" fillId="3" borderId="0" xfId="0" applyFill="1" applyBorder="1"/>
    <xf numFmtId="0" fontId="0" fillId="6" borderId="0" xfId="0" applyFill="1" applyBorder="1"/>
    <xf numFmtId="0" fontId="2" fillId="3" borderId="0" xfId="0" applyFont="1" applyFill="1" applyBorder="1"/>
    <xf numFmtId="0" fontId="4" fillId="3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indent="1"/>
    </xf>
    <xf numFmtId="1" fontId="0" fillId="0" borderId="0" xfId="0" applyNumberFormat="1" applyBorder="1"/>
    <xf numFmtId="0" fontId="5" fillId="0" borderId="1" xfId="0" applyFont="1" applyFill="1" applyBorder="1" applyAlignment="1">
      <alignment horizontal="left" indent="1"/>
    </xf>
    <xf numFmtId="0" fontId="0" fillId="0" borderId="2" xfId="0" applyFill="1" applyBorder="1"/>
    <xf numFmtId="0" fontId="0" fillId="0" borderId="1" xfId="0" applyFill="1" applyBorder="1"/>
    <xf numFmtId="0" fontId="0" fillId="3" borderId="0" xfId="0" applyFill="1" applyBorder="1" applyAlignment="1">
      <alignment horizontal="left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left" indent="1"/>
    </xf>
    <xf numFmtId="0" fontId="5" fillId="0" borderId="4" xfId="0" applyFont="1" applyFill="1" applyBorder="1" applyAlignment="1">
      <alignment horizontal="left" indent="1"/>
    </xf>
    <xf numFmtId="2" fontId="5" fillId="0" borderId="5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5" borderId="0" xfId="0" applyFill="1" applyBorder="1"/>
    <xf numFmtId="0" fontId="5" fillId="2" borderId="0" xfId="0" applyFont="1" applyFill="1" applyBorder="1"/>
    <xf numFmtId="0" fontId="5" fillId="4" borderId="0" xfId="0" applyFont="1" applyFill="1" applyBorder="1"/>
    <xf numFmtId="3" fontId="0" fillId="3" borderId="0" xfId="0" applyNumberFormat="1" applyFill="1" applyBorder="1" applyAlignment="1">
      <alignment horizontal="center" vertical="center"/>
    </xf>
    <xf numFmtId="2" fontId="5" fillId="0" borderId="0" xfId="0" applyNumberFormat="1" applyFont="1" applyFill="1" applyBorder="1"/>
    <xf numFmtId="2" fontId="4" fillId="2" borderId="0" xfId="0" applyNumberFormat="1" applyFont="1" applyFill="1" applyBorder="1" applyAlignment="1">
      <alignment horizontal="right" vertical="center" indent="1"/>
    </xf>
    <xf numFmtId="0" fontId="4" fillId="2" borderId="0" xfId="0" applyFont="1" applyFill="1" applyBorder="1" applyAlignment="1">
      <alignment horizontal="right" vertical="center" indent="1"/>
    </xf>
    <xf numFmtId="1" fontId="4" fillId="6" borderId="0" xfId="0" applyNumberFormat="1" applyFont="1" applyFill="1" applyBorder="1" applyAlignment="1">
      <alignment horizontal="right" vertical="center" indent="1"/>
    </xf>
    <xf numFmtId="1" fontId="4" fillId="4" borderId="0" xfId="0" applyNumberFormat="1" applyFont="1" applyFill="1" applyBorder="1" applyAlignment="1">
      <alignment horizontal="right" vertical="center" indent="1"/>
    </xf>
    <xf numFmtId="0" fontId="4" fillId="4" borderId="0" xfId="0" applyFont="1" applyFill="1" applyBorder="1" applyAlignment="1">
      <alignment horizontal="right" vertical="center" indent="1"/>
    </xf>
    <xf numFmtId="184" fontId="4" fillId="6" borderId="0" xfId="0" applyNumberFormat="1" applyFont="1" applyFill="1" applyBorder="1" applyAlignment="1">
      <alignment horizontal="right" vertical="center" indent="1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 indent="1"/>
    </xf>
    <xf numFmtId="184" fontId="4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right" vertical="center" indent="1"/>
    </xf>
    <xf numFmtId="0" fontId="2" fillId="6" borderId="0" xfId="0" applyFont="1" applyFill="1" applyBorder="1" applyAlignment="1">
      <alignment horizontal="right" vertical="center" indent="1"/>
    </xf>
    <xf numFmtId="1" fontId="4" fillId="3" borderId="0" xfId="0" applyNumberFormat="1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right" vertical="center" indent="1"/>
    </xf>
    <xf numFmtId="1" fontId="4" fillId="2" borderId="4" xfId="0" applyNumberFormat="1" applyFont="1" applyFill="1" applyBorder="1" applyAlignment="1">
      <alignment horizontal="right" vertical="center" indent="1"/>
    </xf>
    <xf numFmtId="0" fontId="4" fillId="2" borderId="6" xfId="0" applyFont="1" applyFill="1" applyBorder="1" applyAlignment="1">
      <alignment horizontal="right" vertical="center" indent="1"/>
    </xf>
    <xf numFmtId="0" fontId="4" fillId="2" borderId="7" xfId="0" applyFont="1" applyFill="1" applyBorder="1" applyAlignment="1">
      <alignment horizontal="right" vertical="center" indent="1"/>
    </xf>
    <xf numFmtId="185" fontId="4" fillId="2" borderId="8" xfId="0" applyNumberFormat="1" applyFont="1" applyFill="1" applyBorder="1" applyAlignment="1">
      <alignment horizontal="right" vertical="center" indent="1"/>
    </xf>
    <xf numFmtId="1" fontId="4" fillId="2" borderId="3" xfId="0" applyNumberFormat="1" applyFont="1" applyFill="1" applyBorder="1" applyAlignment="1">
      <alignment horizontal="right" vertical="center" indent="1"/>
    </xf>
    <xf numFmtId="1" fontId="4" fillId="4" borderId="4" xfId="0" applyNumberFormat="1" applyFont="1" applyFill="1" applyBorder="1" applyAlignment="1">
      <alignment horizontal="right" vertical="center" indent="1"/>
    </xf>
    <xf numFmtId="0" fontId="4" fillId="4" borderId="6" xfId="0" applyFont="1" applyFill="1" applyBorder="1" applyAlignment="1">
      <alignment horizontal="right" vertical="center" indent="1"/>
    </xf>
    <xf numFmtId="0" fontId="4" fillId="4" borderId="7" xfId="0" applyFont="1" applyFill="1" applyBorder="1" applyAlignment="1">
      <alignment horizontal="right" vertical="center" indent="1"/>
    </xf>
    <xf numFmtId="185" fontId="4" fillId="4" borderId="8" xfId="0" applyNumberFormat="1" applyFont="1" applyFill="1" applyBorder="1" applyAlignment="1">
      <alignment horizontal="right" vertical="center" indent="1"/>
    </xf>
    <xf numFmtId="184" fontId="4" fillId="4" borderId="5" xfId="0" applyNumberFormat="1" applyFont="1" applyFill="1" applyBorder="1" applyAlignment="1">
      <alignment horizontal="right" vertical="center" indent="1"/>
    </xf>
    <xf numFmtId="1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right" vertical="center" indent="1"/>
    </xf>
    <xf numFmtId="0" fontId="4" fillId="5" borderId="7" xfId="0" applyFont="1" applyFill="1" applyBorder="1" applyAlignment="1">
      <alignment horizontal="right" vertical="center" indent="1"/>
    </xf>
    <xf numFmtId="185" fontId="4" fillId="5" borderId="8" xfId="0" applyNumberFormat="1" applyFont="1" applyFill="1" applyBorder="1" applyAlignment="1">
      <alignment horizontal="right" vertical="center" indent="1"/>
    </xf>
    <xf numFmtId="184" fontId="4" fillId="5" borderId="3" xfId="0" applyNumberFormat="1" applyFont="1" applyFill="1" applyBorder="1" applyAlignment="1">
      <alignment horizontal="center" vertical="center"/>
    </xf>
    <xf numFmtId="1" fontId="2" fillId="6" borderId="4" xfId="0" applyNumberFormat="1" applyFont="1" applyFill="1" applyBorder="1" applyAlignment="1">
      <alignment horizontal="right" vertical="center" indent="1"/>
    </xf>
    <xf numFmtId="2" fontId="2" fillId="6" borderId="6" xfId="0" applyNumberFormat="1" applyFont="1" applyFill="1" applyBorder="1" applyAlignment="1">
      <alignment horizontal="right" vertical="center" indent="1"/>
    </xf>
    <xf numFmtId="0" fontId="2" fillId="6" borderId="7" xfId="0" applyFont="1" applyFill="1" applyBorder="1" applyAlignment="1">
      <alignment horizontal="right" vertical="center" indent="1"/>
    </xf>
    <xf numFmtId="185" fontId="2" fillId="6" borderId="8" xfId="0" applyNumberFormat="1" applyFont="1" applyFill="1" applyBorder="1" applyAlignment="1">
      <alignment horizontal="right" vertical="center" indent="1"/>
    </xf>
    <xf numFmtId="1" fontId="2" fillId="7" borderId="5" xfId="0" applyNumberFormat="1" applyFont="1" applyFill="1" applyBorder="1" applyAlignment="1">
      <alignment horizontal="right" vertical="center" indent="1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right" vertical="center" indent="1"/>
    </xf>
    <xf numFmtId="2" fontId="4" fillId="3" borderId="7" xfId="0" applyNumberFormat="1" applyFont="1" applyFill="1" applyBorder="1" applyAlignment="1">
      <alignment horizontal="right" vertical="center" indent="1"/>
    </xf>
    <xf numFmtId="185" fontId="4" fillId="3" borderId="8" xfId="0" applyNumberFormat="1" applyFont="1" applyFill="1" applyBorder="1" applyAlignment="1">
      <alignment horizontal="right" vertical="center" indent="1"/>
    </xf>
    <xf numFmtId="1" fontId="4" fillId="8" borderId="5" xfId="0" applyNumberFormat="1" applyFont="1" applyFill="1" applyBorder="1" applyAlignment="1">
      <alignment horizontal="right" vertical="center" indent="1"/>
    </xf>
    <xf numFmtId="184" fontId="5" fillId="0" borderId="0" xfId="0" applyNumberFormat="1" applyFont="1" applyFill="1" applyBorder="1"/>
    <xf numFmtId="2" fontId="5" fillId="7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 vertical="center" indent="1"/>
    </xf>
    <xf numFmtId="0" fontId="4" fillId="2" borderId="3" xfId="0" applyFont="1" applyFill="1" applyBorder="1" applyAlignment="1">
      <alignment horizontal="right" vertical="center" indent="1"/>
    </xf>
    <xf numFmtId="185" fontId="4" fillId="2" borderId="4" xfId="0" applyNumberFormat="1" applyFont="1" applyFill="1" applyBorder="1" applyAlignment="1">
      <alignment horizontal="right" vertical="center" indent="1"/>
    </xf>
    <xf numFmtId="186" fontId="4" fillId="2" borderId="0" xfId="0" applyNumberFormat="1" applyFont="1" applyFill="1" applyBorder="1" applyAlignment="1">
      <alignment horizontal="right" vertical="center" indent="1"/>
    </xf>
    <xf numFmtId="186" fontId="4" fillId="4" borderId="0" xfId="0" applyNumberFormat="1" applyFont="1" applyFill="1" applyBorder="1" applyAlignment="1">
      <alignment horizontal="right" vertical="center" indent="1"/>
    </xf>
    <xf numFmtId="0" fontId="4" fillId="4" borderId="5" xfId="0" applyFont="1" applyFill="1" applyBorder="1" applyAlignment="1">
      <alignment horizontal="right" vertical="center" indent="1"/>
    </xf>
    <xf numFmtId="0" fontId="4" fillId="4" borderId="3" xfId="0" applyFont="1" applyFill="1" applyBorder="1" applyAlignment="1">
      <alignment horizontal="right" vertical="center" indent="1"/>
    </xf>
    <xf numFmtId="2" fontId="4" fillId="4" borderId="4" xfId="0" applyNumberFormat="1" applyFont="1" applyFill="1" applyBorder="1" applyAlignment="1">
      <alignment horizontal="right" vertical="center" indent="1"/>
    </xf>
    <xf numFmtId="186" fontId="4" fillId="5" borderId="0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right" vertical="center" indent="1"/>
    </xf>
    <xf numFmtId="0" fontId="4" fillId="5" borderId="3" xfId="0" applyFont="1" applyFill="1" applyBorder="1" applyAlignment="1">
      <alignment horizontal="right" vertical="center" indent="1"/>
    </xf>
    <xf numFmtId="0" fontId="4" fillId="5" borderId="4" xfId="0" applyFont="1" applyFill="1" applyBorder="1" applyAlignment="1">
      <alignment horizontal="right" vertical="center" indent="1"/>
    </xf>
    <xf numFmtId="185" fontId="4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right" vertical="center" indent="1"/>
    </xf>
    <xf numFmtId="0" fontId="2" fillId="6" borderId="5" xfId="0" applyFont="1" applyFill="1" applyBorder="1" applyAlignment="1">
      <alignment horizontal="right" vertical="center" indent="1"/>
    </xf>
    <xf numFmtId="0" fontId="2" fillId="6" borderId="3" xfId="0" applyFont="1" applyFill="1" applyBorder="1" applyAlignment="1">
      <alignment horizontal="right" vertical="center" indent="1"/>
    </xf>
    <xf numFmtId="2" fontId="2" fillId="3" borderId="4" xfId="0" applyNumberFormat="1" applyFont="1" applyFill="1" applyBorder="1" applyAlignment="1">
      <alignment horizontal="right" vertical="center" indent="1"/>
    </xf>
    <xf numFmtId="185" fontId="2" fillId="6" borderId="0" xfId="0" applyNumberFormat="1" applyFont="1" applyFill="1" applyBorder="1" applyAlignment="1">
      <alignment horizontal="right" vertical="center" indent="1"/>
    </xf>
    <xf numFmtId="185" fontId="4" fillId="3" borderId="0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right" vertical="center" indent="1"/>
    </xf>
    <xf numFmtId="2" fontId="4" fillId="3" borderId="3" xfId="0" applyNumberFormat="1" applyFont="1" applyFill="1" applyBorder="1" applyAlignment="1">
      <alignment horizontal="right" vertical="center" indent="1"/>
    </xf>
    <xf numFmtId="2" fontId="4" fillId="0" borderId="4" xfId="0" applyNumberFormat="1" applyFont="1" applyFill="1" applyBorder="1" applyAlignment="1">
      <alignment horizontal="right" vertical="center" indent="1"/>
    </xf>
    <xf numFmtId="187" fontId="4" fillId="3" borderId="0" xfId="0" applyNumberFormat="1" applyFont="1" applyFill="1" applyBorder="1" applyAlignment="1">
      <alignment horizontal="right" vertical="center" indent="1"/>
    </xf>
    <xf numFmtId="0" fontId="4" fillId="2" borderId="0" xfId="0" applyFont="1" applyFill="1" applyBorder="1"/>
    <xf numFmtId="0" fontId="4" fillId="4" borderId="0" xfId="0" applyFont="1" applyFill="1" applyBorder="1"/>
    <xf numFmtId="0" fontId="7" fillId="5" borderId="0" xfId="0" applyFont="1" applyFill="1" applyBorder="1"/>
    <xf numFmtId="0" fontId="2" fillId="6" borderId="0" xfId="0" applyFont="1" applyFill="1" applyBorder="1"/>
    <xf numFmtId="0" fontId="8" fillId="6" borderId="0" xfId="0" applyFont="1" applyFill="1" applyBorder="1"/>
    <xf numFmtId="2" fontId="2" fillId="3" borderId="0" xfId="0" applyNumberFormat="1" applyFont="1" applyFill="1" applyBorder="1" applyAlignment="1">
      <alignment horizontal="right" vertical="center" indent="1"/>
    </xf>
    <xf numFmtId="187" fontId="5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84" fontId="9" fillId="3" borderId="0" xfId="0" applyNumberFormat="1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0" fontId="4" fillId="0" borderId="0" xfId="0" applyFont="1" applyFill="1" applyBorder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184" fontId="2" fillId="6" borderId="0" xfId="0" applyNumberFormat="1" applyFont="1" applyFill="1" applyBorder="1" applyAlignment="1">
      <alignment horizontal="right" vertical="center" indent="1"/>
    </xf>
    <xf numFmtId="184" fontId="2" fillId="6" borderId="4" xfId="0" applyNumberFormat="1" applyFont="1" applyFill="1" applyBorder="1" applyAlignment="1">
      <alignment horizontal="right" vertical="center" indent="1"/>
    </xf>
    <xf numFmtId="184" fontId="4" fillId="3" borderId="3" xfId="0" applyNumberFormat="1" applyFont="1" applyFill="1" applyBorder="1" applyAlignment="1">
      <alignment horizontal="center"/>
    </xf>
    <xf numFmtId="0" fontId="7" fillId="4" borderId="0" xfId="0" applyFont="1" applyFill="1" applyBorder="1"/>
    <xf numFmtId="184" fontId="4" fillId="3" borderId="0" xfId="0" applyNumberFormat="1" applyFont="1" applyFill="1" applyBorder="1" applyAlignment="1">
      <alignment horizontal="center"/>
    </xf>
    <xf numFmtId="184" fontId="2" fillId="7" borderId="5" xfId="0" applyNumberFormat="1" applyFont="1" applyFill="1" applyBorder="1" applyAlignment="1">
      <alignment horizontal="right" vertical="center" indent="1"/>
    </xf>
    <xf numFmtId="185" fontId="4" fillId="5" borderId="5" xfId="0" applyNumberFormat="1" applyFont="1" applyFill="1" applyBorder="1" applyAlignment="1">
      <alignment horizontal="right" vertical="center" indent="1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2" fillId="0" borderId="7" xfId="0" applyFont="1" applyBorder="1" applyAlignment="1">
      <alignment horizontal="center"/>
    </xf>
    <xf numFmtId="0" fontId="10" fillId="3" borderId="6" xfId="0" applyFont="1" applyFill="1" applyBorder="1"/>
    <xf numFmtId="0" fontId="10" fillId="3" borderId="7" xfId="0" applyFont="1" applyFill="1" applyBorder="1" applyAlignment="1">
      <alignment horizontal="left" indent="1"/>
    </xf>
    <xf numFmtId="0" fontId="10" fillId="3" borderId="8" xfId="0" applyFont="1" applyFill="1" applyBorder="1" applyAlignment="1">
      <alignment horizontal="left" indent="1"/>
    </xf>
    <xf numFmtId="0" fontId="10" fillId="3" borderId="7" xfId="0" applyFont="1" applyFill="1" applyBorder="1"/>
    <xf numFmtId="0" fontId="10" fillId="9" borderId="8" xfId="0" applyFont="1" applyFill="1" applyBorder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 vertical="center" indent="1"/>
    </xf>
    <xf numFmtId="0" fontId="0" fillId="0" borderId="6" xfId="0" applyBorder="1"/>
    <xf numFmtId="2" fontId="0" fillId="0" borderId="7" xfId="0" applyNumberFormat="1" applyBorder="1"/>
    <xf numFmtId="0" fontId="4" fillId="0" borderId="7" xfId="0" applyFont="1" applyBorder="1"/>
    <xf numFmtId="0" fontId="0" fillId="0" borderId="8" xfId="0" applyBorder="1"/>
    <xf numFmtId="0" fontId="10" fillId="3" borderId="2" xfId="0" applyFont="1" applyFill="1" applyBorder="1"/>
    <xf numFmtId="0" fontId="10" fillId="3" borderId="0" xfId="0" applyFont="1" applyFill="1" applyBorder="1" applyAlignment="1">
      <alignment horizontal="left" indent="1"/>
    </xf>
    <xf numFmtId="0" fontId="10" fillId="3" borderId="1" xfId="0" applyFont="1" applyFill="1" applyBorder="1" applyAlignment="1">
      <alignment horizontal="left" indent="1"/>
    </xf>
    <xf numFmtId="0" fontId="10" fillId="3" borderId="0" xfId="0" applyFont="1" applyFill="1" applyBorder="1"/>
    <xf numFmtId="0" fontId="10" fillId="9" borderId="1" xfId="0" applyFont="1" applyFill="1" applyBorder="1"/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 vertical="center" indent="1"/>
    </xf>
    <xf numFmtId="0" fontId="0" fillId="0" borderId="2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2" fontId="10" fillId="3" borderId="2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right" vertical="center" indent="1"/>
    </xf>
    <xf numFmtId="184" fontId="0" fillId="0" borderId="0" xfId="0" applyNumberFormat="1" applyBorder="1" applyAlignment="1">
      <alignment horizontal="center"/>
    </xf>
    <xf numFmtId="186" fontId="0" fillId="0" borderId="1" xfId="0" applyNumberFormat="1" applyBorder="1" applyAlignment="1">
      <alignment horizontal="center"/>
    </xf>
    <xf numFmtId="0" fontId="10" fillId="0" borderId="2" xfId="0" applyFont="1" applyBorder="1"/>
    <xf numFmtId="0" fontId="10" fillId="0" borderId="0" xfId="0" applyFont="1" applyBorder="1" applyAlignment="1">
      <alignment horizontal="left" indent="1"/>
    </xf>
    <xf numFmtId="0" fontId="10" fillId="0" borderId="1" xfId="0" applyFont="1" applyBorder="1" applyAlignment="1">
      <alignment horizontal="left" indent="1"/>
    </xf>
    <xf numFmtId="0" fontId="10" fillId="0" borderId="0" xfId="0" applyFont="1" applyBorder="1"/>
    <xf numFmtId="3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right" vertical="center" indent="1"/>
    </xf>
    <xf numFmtId="0" fontId="4" fillId="3" borderId="0" xfId="0" applyFont="1" applyFill="1" applyBorder="1" applyAlignment="1">
      <alignment horizontal="center"/>
    </xf>
    <xf numFmtId="2" fontId="10" fillId="3" borderId="2" xfId="0" applyNumberFormat="1" applyFont="1" applyFill="1" applyBorder="1"/>
    <xf numFmtId="185" fontId="10" fillId="0" borderId="6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2" fontId="10" fillId="9" borderId="8" xfId="0" applyNumberFormat="1" applyFont="1" applyFill="1" applyBorder="1" applyAlignment="1">
      <alignment horizontal="center"/>
    </xf>
    <xf numFmtId="185" fontId="10" fillId="0" borderId="2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10" fillId="9" borderId="1" xfId="0" applyNumberFormat="1" applyFont="1" applyFill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right" vertical="center" indent="1"/>
    </xf>
    <xf numFmtId="187" fontId="10" fillId="3" borderId="2" xfId="0" applyNumberFormat="1" applyFont="1" applyFill="1" applyBorder="1"/>
    <xf numFmtId="185" fontId="10" fillId="10" borderId="2" xfId="0" applyNumberFormat="1" applyFont="1" applyFill="1" applyBorder="1" applyAlignment="1">
      <alignment horizontal="center"/>
    </xf>
    <xf numFmtId="186" fontId="10" fillId="3" borderId="2" xfId="0" applyNumberFormat="1" applyFont="1" applyFill="1" applyBorder="1"/>
    <xf numFmtId="185" fontId="10" fillId="0" borderId="5" xfId="0" applyNumberFormat="1" applyFont="1" applyBorder="1" applyAlignment="1">
      <alignment horizontal="center"/>
    </xf>
    <xf numFmtId="0" fontId="10" fillId="0" borderId="3" xfId="0" applyFont="1" applyBorder="1"/>
    <xf numFmtId="0" fontId="10" fillId="9" borderId="4" xfId="0" applyFont="1" applyFill="1" applyBorder="1" applyAlignment="1">
      <alignment horizontal="center"/>
    </xf>
    <xf numFmtId="2" fontId="10" fillId="8" borderId="6" xfId="0" applyNumberFormat="1" applyFont="1" applyFill="1" applyBorder="1"/>
    <xf numFmtId="0" fontId="10" fillId="8" borderId="7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left" indent="1"/>
    </xf>
    <xf numFmtId="185" fontId="10" fillId="8" borderId="6" xfId="0" applyNumberFormat="1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5" xfId="0" applyFont="1" applyFill="1" applyBorder="1"/>
    <xf numFmtId="0" fontId="10" fillId="8" borderId="3" xfId="0" applyFont="1" applyFill="1" applyBorder="1" applyAlignment="1">
      <alignment horizontal="left" indent="1"/>
    </xf>
    <xf numFmtId="0" fontId="10" fillId="8" borderId="4" xfId="0" applyFont="1" applyFill="1" applyBorder="1" applyAlignment="1">
      <alignment horizontal="left" indent="1"/>
    </xf>
    <xf numFmtId="0" fontId="0" fillId="0" borderId="5" xfId="0" applyBorder="1"/>
    <xf numFmtId="1" fontId="0" fillId="0" borderId="3" xfId="0" applyNumberFormat="1" applyBorder="1"/>
    <xf numFmtId="0" fontId="4" fillId="3" borderId="3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" xfId="0" applyBorder="1" applyAlignment="1"/>
    <xf numFmtId="185" fontId="0" fillId="0" borderId="1" xfId="0" applyNumberFormat="1" applyBorder="1" applyAlignment="1"/>
    <xf numFmtId="184" fontId="0" fillId="0" borderId="3" xfId="0" applyNumberFormat="1" applyBorder="1" applyAlignment="1">
      <alignment horizontal="center"/>
    </xf>
    <xf numFmtId="186" fontId="0" fillId="0" borderId="4" xfId="0" applyNumberFormat="1" applyBorder="1" applyAlignment="1">
      <alignment horizontal="center"/>
    </xf>
    <xf numFmtId="185" fontId="0" fillId="0" borderId="4" xfId="0" applyNumberFormat="1" applyBorder="1" applyAlignment="1"/>
    <xf numFmtId="185" fontId="10" fillId="5" borderId="2" xfId="0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187" fontId="10" fillId="5" borderId="5" xfId="0" applyNumberFormat="1" applyFont="1" applyFill="1" applyBorder="1"/>
    <xf numFmtId="0" fontId="10" fillId="5" borderId="4" xfId="0" applyFont="1" applyFill="1" applyBorder="1" applyAlignment="1">
      <alignment horizontal="left" indent="1"/>
    </xf>
    <xf numFmtId="185" fontId="10" fillId="0" borderId="5" xfId="0" applyNumberFormat="1" applyFont="1" applyBorder="1"/>
    <xf numFmtId="0" fontId="10" fillId="9" borderId="4" xfId="0" applyFont="1" applyFill="1" applyBorder="1"/>
    <xf numFmtId="0" fontId="2" fillId="0" borderId="6" xfId="0" applyFont="1" applyBorder="1"/>
    <xf numFmtId="0" fontId="3" fillId="5" borderId="6" xfId="0" applyFont="1" applyFill="1" applyBorder="1" applyAlignment="1"/>
    <xf numFmtId="0" fontId="3" fillId="5" borderId="7" xfId="0" applyFont="1" applyFill="1" applyBorder="1" applyAlignment="1"/>
    <xf numFmtId="0" fontId="0" fillId="5" borderId="8" xfId="0" applyFill="1" applyBorder="1"/>
    <xf numFmtId="0" fontId="0" fillId="5" borderId="7" xfId="0" applyFill="1" applyBorder="1"/>
    <xf numFmtId="0" fontId="0" fillId="0" borderId="8" xfId="0" applyBorder="1" applyAlignment="1">
      <alignment horizontal="center"/>
    </xf>
    <xf numFmtId="0" fontId="3" fillId="7" borderId="0" xfId="0" applyFont="1" applyFill="1" applyBorder="1"/>
    <xf numFmtId="0" fontId="0" fillId="7" borderId="0" xfId="0" applyFill="1" applyBorder="1"/>
    <xf numFmtId="0" fontId="3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3" fillId="5" borderId="5" xfId="0" applyFont="1" applyFill="1" applyBorder="1" applyAlignment="1">
      <alignment horizontal="left"/>
    </xf>
    <xf numFmtId="0" fontId="16" fillId="5" borderId="3" xfId="0" applyFont="1" applyFill="1" applyBorder="1" applyAlignment="1"/>
    <xf numFmtId="0" fontId="0" fillId="5" borderId="4" xfId="0" applyFill="1" applyBorder="1"/>
    <xf numFmtId="0" fontId="0" fillId="0" borderId="1" xfId="0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Border="1" applyAlignment="1"/>
    <xf numFmtId="0" fontId="0" fillId="0" borderId="0" xfId="0" applyAlignment="1"/>
    <xf numFmtId="0" fontId="2" fillId="0" borderId="6" xfId="0" applyFont="1" applyBorder="1" applyAlignment="1">
      <alignment horizontal="right"/>
    </xf>
    <xf numFmtId="1" fontId="2" fillId="0" borderId="8" xfId="0" applyNumberFormat="1" applyFont="1" applyBorder="1"/>
    <xf numFmtId="1" fontId="0" fillId="3" borderId="0" xfId="0" applyNumberFormat="1" applyFill="1" applyBorder="1"/>
    <xf numFmtId="0" fontId="17" fillId="0" borderId="0" xfId="0" applyFont="1" applyBorder="1"/>
    <xf numFmtId="0" fontId="17" fillId="0" borderId="0" xfId="0" applyFont="1"/>
    <xf numFmtId="0" fontId="2" fillId="0" borderId="2" xfId="0" applyFont="1" applyBorder="1" applyAlignment="1">
      <alignment horizontal="right"/>
    </xf>
    <xf numFmtId="1" fontId="2" fillId="0" borderId="1" xfId="0" applyNumberFormat="1" applyFont="1" applyBorder="1"/>
    <xf numFmtId="0" fontId="0" fillId="0" borderId="4" xfId="0" applyBorder="1"/>
    <xf numFmtId="0" fontId="0" fillId="3" borderId="3" xfId="0" applyFill="1" applyBorder="1"/>
    <xf numFmtId="0" fontId="0" fillId="0" borderId="4" xfId="0" applyBorder="1" applyAlignment="1">
      <alignment horizontal="center"/>
    </xf>
    <xf numFmtId="0" fontId="0" fillId="5" borderId="6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1" fontId="2" fillId="0" borderId="4" xfId="0" applyNumberFormat="1" applyFont="1" applyBorder="1"/>
    <xf numFmtId="0" fontId="0" fillId="5" borderId="5" xfId="0" applyFill="1" applyBorder="1"/>
    <xf numFmtId="0" fontId="0" fillId="5" borderId="3" xfId="0" applyFill="1" applyBorder="1"/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2" fillId="3" borderId="0" xfId="0" applyNumberFormat="1" applyFont="1" applyFill="1" applyBorder="1"/>
    <xf numFmtId="0" fontId="2" fillId="0" borderId="5" xfId="0" applyFont="1" applyBorder="1"/>
    <xf numFmtId="0" fontId="2" fillId="0" borderId="3" xfId="0" applyFont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18" fillId="0" borderId="12" xfId="0" applyFont="1" applyBorder="1"/>
    <xf numFmtId="0" fontId="18" fillId="0" borderId="13" xfId="0" applyFont="1" applyBorder="1"/>
    <xf numFmtId="0" fontId="10" fillId="5" borderId="14" xfId="0" applyFont="1" applyFill="1" applyBorder="1" applyAlignment="1"/>
    <xf numFmtId="0" fontId="10" fillId="5" borderId="13" xfId="0" applyFont="1" applyFill="1" applyBorder="1" applyAlignment="1"/>
    <xf numFmtId="0" fontId="18" fillId="5" borderId="15" xfId="0" applyFont="1" applyFill="1" applyBorder="1"/>
    <xf numFmtId="0" fontId="18" fillId="5" borderId="13" xfId="0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/>
    <xf numFmtId="0" fontId="18" fillId="0" borderId="0" xfId="0" applyFont="1" applyBorder="1"/>
    <xf numFmtId="0" fontId="10" fillId="5" borderId="5" xfId="0" applyFont="1" applyFill="1" applyBorder="1" applyAlignment="1">
      <alignment horizontal="left"/>
    </xf>
    <xf numFmtId="0" fontId="18" fillId="5" borderId="3" xfId="0" applyFont="1" applyFill="1" applyBorder="1" applyAlignment="1"/>
    <xf numFmtId="0" fontId="18" fillId="5" borderId="4" xfId="0" applyFont="1" applyFill="1" applyBorder="1"/>
    <xf numFmtId="0" fontId="18" fillId="5" borderId="0" xfId="0" applyFont="1" applyFill="1" applyBorder="1"/>
    <xf numFmtId="0" fontId="18" fillId="0" borderId="0" xfId="0" applyFont="1" applyFill="1" applyBorder="1"/>
    <xf numFmtId="0" fontId="18" fillId="0" borderId="18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0" borderId="18" xfId="0" applyFont="1" applyBorder="1" applyAlignment="1">
      <alignment horizontal="center"/>
    </xf>
    <xf numFmtId="0" fontId="18" fillId="5" borderId="1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0" xfId="0" applyFont="1" applyFill="1"/>
    <xf numFmtId="0" fontId="18" fillId="0" borderId="0" xfId="0" applyFont="1" applyBorder="1" applyAlignment="1"/>
    <xf numFmtId="0" fontId="18" fillId="0" borderId="18" xfId="0" applyFont="1" applyBorder="1" applyAlignment="1"/>
    <xf numFmtId="1" fontId="18" fillId="0" borderId="0" xfId="0" applyNumberFormat="1" applyFont="1" applyBorder="1"/>
    <xf numFmtId="0" fontId="19" fillId="0" borderId="0" xfId="0" applyFont="1" applyBorder="1"/>
    <xf numFmtId="0" fontId="3" fillId="5" borderId="0" xfId="0" applyFont="1" applyFill="1"/>
    <xf numFmtId="0" fontId="0" fillId="5" borderId="0" xfId="0" applyFill="1"/>
    <xf numFmtId="0" fontId="18" fillId="0" borderId="19" xfId="0" applyFont="1" applyBorder="1" applyAlignment="1">
      <alignment horizontal="right"/>
    </xf>
    <xf numFmtId="0" fontId="18" fillId="0" borderId="8" xfId="0" applyFont="1" applyBorder="1"/>
    <xf numFmtId="0" fontId="18" fillId="0" borderId="20" xfId="0" applyFont="1" applyBorder="1"/>
    <xf numFmtId="0" fontId="18" fillId="0" borderId="21" xfId="0" applyFont="1" applyBorder="1" applyAlignment="1">
      <alignment horizontal="center"/>
    </xf>
    <xf numFmtId="0" fontId="18" fillId="0" borderId="17" xfId="0" applyFont="1" applyBorder="1" applyAlignment="1">
      <alignment horizontal="right"/>
    </xf>
    <xf numFmtId="0" fontId="18" fillId="0" borderId="1" xfId="0" applyFont="1" applyBorder="1"/>
    <xf numFmtId="0" fontId="18" fillId="0" borderId="22" xfId="0" applyFont="1" applyBorder="1" applyAlignment="1">
      <alignment horizontal="right"/>
    </xf>
    <xf numFmtId="0" fontId="18" fillId="0" borderId="4" xfId="0" applyFont="1" applyBorder="1"/>
    <xf numFmtId="0" fontId="18" fillId="3" borderId="0" xfId="0" applyFont="1" applyFill="1" applyBorder="1"/>
    <xf numFmtId="0" fontId="18" fillId="0" borderId="23" xfId="0" applyFont="1" applyBorder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0" fillId="4" borderId="8" xfId="0" applyFill="1" applyBorder="1"/>
    <xf numFmtId="0" fontId="0" fillId="4" borderId="7" xfId="0" applyFill="1" applyBorder="1"/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16" fillId="4" borderId="3" xfId="0" applyFont="1" applyFill="1" applyBorder="1" applyAlignment="1"/>
    <xf numFmtId="0" fontId="0" fillId="4" borderId="4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Border="1"/>
    <xf numFmtId="0" fontId="0" fillId="0" borderId="24" xfId="0" applyBorder="1" applyAlignment="1">
      <alignment horizontal="center"/>
    </xf>
    <xf numFmtId="0" fontId="0" fillId="4" borderId="6" xfId="0" applyFill="1" applyBorder="1"/>
    <xf numFmtId="0" fontId="0" fillId="0" borderId="0" xfId="0" applyFill="1" applyBorder="1" applyAlignment="1"/>
    <xf numFmtId="0" fontId="0" fillId="4" borderId="5" xfId="0" applyFill="1" applyBorder="1"/>
    <xf numFmtId="0" fontId="0" fillId="4" borderId="3" xfId="0" applyFill="1" applyBorder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0" fillId="0" borderId="3" xfId="0" applyFill="1" applyBorder="1" applyAlignment="1"/>
    <xf numFmtId="0" fontId="3" fillId="11" borderId="6" xfId="0" applyFont="1" applyFill="1" applyBorder="1" applyAlignment="1"/>
    <xf numFmtId="0" fontId="3" fillId="11" borderId="7" xfId="0" applyFont="1" applyFill="1" applyBorder="1" applyAlignment="1"/>
    <xf numFmtId="0" fontId="0" fillId="11" borderId="8" xfId="0" applyFill="1" applyBorder="1"/>
    <xf numFmtId="0" fontId="0" fillId="11" borderId="7" xfId="0" applyFill="1" applyBorder="1"/>
    <xf numFmtId="0" fontId="3" fillId="11" borderId="5" xfId="0" applyFont="1" applyFill="1" applyBorder="1" applyAlignment="1">
      <alignment horizontal="left"/>
    </xf>
    <xf numFmtId="0" fontId="16" fillId="11" borderId="3" xfId="0" applyFont="1" applyFill="1" applyBorder="1" applyAlignment="1"/>
    <xf numFmtId="0" fontId="1" fillId="11" borderId="4" xfId="0" applyFont="1" applyFill="1" applyBorder="1"/>
    <xf numFmtId="0" fontId="1" fillId="11" borderId="0" xfId="0" applyFont="1" applyFill="1" applyBorder="1"/>
    <xf numFmtId="0" fontId="0" fillId="11" borderId="0" xfId="0" applyFill="1" applyBorder="1"/>
    <xf numFmtId="0" fontId="0" fillId="11" borderId="1" xfId="0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0" fillId="12" borderId="0" xfId="0" applyFont="1" applyFill="1"/>
    <xf numFmtId="1" fontId="0" fillId="0" borderId="5" xfId="0" applyNumberFormat="1" applyBorder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0" fillId="2" borderId="8" xfId="0" applyFill="1" applyBorder="1"/>
    <xf numFmtId="0" fontId="0" fillId="2" borderId="7" xfId="0" applyFill="1" applyBorder="1"/>
    <xf numFmtId="0" fontId="3" fillId="2" borderId="5" xfId="0" applyFont="1" applyFill="1" applyBorder="1" applyAlignment="1">
      <alignment horizontal="left"/>
    </xf>
    <xf numFmtId="0" fontId="16" fillId="2" borderId="3" xfId="0" applyFont="1" applyFill="1" applyBorder="1" applyAlignment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8" borderId="0" xfId="0" applyFill="1" applyBorder="1"/>
    <xf numFmtId="1" fontId="2" fillId="0" borderId="8" xfId="0" applyNumberFormat="1" applyFont="1" applyFill="1" applyBorder="1"/>
    <xf numFmtId="1" fontId="0" fillId="0" borderId="3" xfId="0" applyNumberFormat="1" applyBorder="1" applyAlignment="1">
      <alignment horizontal="center"/>
    </xf>
    <xf numFmtId="0" fontId="2" fillId="0" borderId="0" xfId="0" applyFont="1" applyFill="1"/>
    <xf numFmtId="0" fontId="3" fillId="0" borderId="6" xfId="0" applyFont="1" applyFill="1" applyBorder="1" applyAlignment="1"/>
    <xf numFmtId="0" fontId="0" fillId="0" borderId="8" xfId="0" applyFill="1" applyBorder="1"/>
    <xf numFmtId="0" fontId="3" fillId="0" borderId="5" xfId="0" applyFont="1" applyFill="1" applyBorder="1" applyAlignment="1">
      <alignment horizontal="left"/>
    </xf>
    <xf numFmtId="0" fontId="16" fillId="0" borderId="3" xfId="0" applyFont="1" applyFill="1" applyBorder="1" applyAlignment="1"/>
    <xf numFmtId="0" fontId="0" fillId="0" borderId="4" xfId="0" applyFill="1" applyBorder="1"/>
    <xf numFmtId="0" fontId="2" fillId="0" borderId="6" xfId="0" applyFont="1" applyFill="1" applyBorder="1" applyAlignment="1">
      <alignment horizontal="right"/>
    </xf>
    <xf numFmtId="0" fontId="2" fillId="0" borderId="8" xfId="0" applyFont="1" applyFill="1" applyBorder="1"/>
    <xf numFmtId="0" fontId="17" fillId="0" borderId="0" xfId="0" applyFont="1" applyFill="1"/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/>
    <xf numFmtId="0" fontId="0" fillId="0" borderId="3" xfId="0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4" xfId="0" applyFont="1" applyFill="1" applyBorder="1"/>
    <xf numFmtId="0" fontId="3" fillId="0" borderId="0" xfId="0" applyFont="1"/>
    <xf numFmtId="0" fontId="2" fillId="5" borderId="0" xfId="0" applyFont="1" applyFill="1"/>
    <xf numFmtId="1" fontId="3" fillId="3" borderId="0" xfId="0" applyNumberFormat="1" applyFont="1" applyFill="1" applyBorder="1"/>
    <xf numFmtId="1" fontId="2" fillId="0" borderId="0" xfId="0" applyNumberFormat="1" applyFont="1" applyFill="1" applyBorder="1"/>
    <xf numFmtId="0" fontId="3" fillId="0" borderId="1" xfId="0" applyFont="1" applyBorder="1" applyAlignment="1">
      <alignment textRotation="90"/>
    </xf>
    <xf numFmtId="1" fontId="2" fillId="3" borderId="0" xfId="0" applyNumberFormat="1" applyFont="1" applyFill="1"/>
    <xf numFmtId="1" fontId="3" fillId="3" borderId="0" xfId="0" applyNumberFormat="1" applyFont="1" applyFill="1"/>
    <xf numFmtId="1" fontId="2" fillId="3" borderId="4" xfId="0" applyNumberFormat="1" applyFont="1" applyFill="1" applyBorder="1"/>
    <xf numFmtId="0" fontId="2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2" fontId="2" fillId="0" borderId="5" xfId="0" applyNumberFormat="1" applyFont="1" applyFill="1" applyBorder="1"/>
    <xf numFmtId="2" fontId="2" fillId="3" borderId="4" xfId="0" applyNumberFormat="1" applyFont="1" applyFill="1" applyBorder="1"/>
    <xf numFmtId="2" fontId="2" fillId="3" borderId="5" xfId="0" applyNumberFormat="1" applyFont="1" applyFill="1" applyBorder="1"/>
    <xf numFmtId="0" fontId="2" fillId="5" borderId="4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3" borderId="5" xfId="0" applyFill="1" applyBorder="1"/>
    <xf numFmtId="2" fontId="2" fillId="3" borderId="4" xfId="0" applyNumberFormat="1" applyFont="1" applyFill="1" applyBorder="1" applyAlignment="1">
      <alignment horizontal="left" indent="1"/>
    </xf>
    <xf numFmtId="0" fontId="2" fillId="5" borderId="5" xfId="0" applyFont="1" applyFill="1" applyBorder="1"/>
    <xf numFmtId="0" fontId="2" fillId="5" borderId="3" xfId="0" applyFont="1" applyFill="1" applyBorder="1"/>
    <xf numFmtId="0" fontId="2" fillId="3" borderId="25" xfId="0" applyFont="1" applyFill="1" applyBorder="1"/>
    <xf numFmtId="185" fontId="2" fillId="3" borderId="0" xfId="0" applyNumberFormat="1" applyFont="1" applyFill="1" applyBorder="1"/>
    <xf numFmtId="1" fontId="0" fillId="0" borderId="0" xfId="0" applyNumberFormat="1"/>
    <xf numFmtId="0" fontId="0" fillId="0" borderId="26" xfId="0" applyBorder="1"/>
    <xf numFmtId="185" fontId="2" fillId="3" borderId="0" xfId="0" applyNumberFormat="1" applyFont="1" applyFill="1"/>
    <xf numFmtId="185" fontId="2" fillId="0" borderId="0" xfId="0" applyNumberFormat="1" applyFont="1" applyFill="1" applyBorder="1"/>
    <xf numFmtId="0" fontId="10" fillId="13" borderId="0" xfId="0" applyFont="1" applyFill="1" applyBorder="1" applyAlignment="1">
      <alignment textRotation="90"/>
    </xf>
    <xf numFmtId="1" fontId="10" fillId="13" borderId="0" xfId="0" applyNumberFormat="1" applyFont="1" applyFill="1" applyBorder="1" applyAlignment="1">
      <alignment textRotation="90"/>
    </xf>
    <xf numFmtId="0" fontId="10" fillId="3" borderId="26" xfId="0" applyFont="1" applyFill="1" applyBorder="1" applyAlignment="1">
      <alignment textRotation="90"/>
    </xf>
    <xf numFmtId="185" fontId="2" fillId="0" borderId="0" xfId="0" applyNumberFormat="1" applyFont="1" applyFill="1"/>
    <xf numFmtId="0" fontId="18" fillId="0" borderId="0" xfId="0" applyFont="1"/>
    <xf numFmtId="185" fontId="18" fillId="0" borderId="0" xfId="0" applyNumberFormat="1" applyFont="1" applyFill="1" applyBorder="1"/>
    <xf numFmtId="1" fontId="10" fillId="0" borderId="0" xfId="0" applyNumberFormat="1" applyFont="1" applyBorder="1" applyAlignment="1">
      <alignment textRotation="90"/>
    </xf>
    <xf numFmtId="1" fontId="10" fillId="3" borderId="0" xfId="0" applyNumberFormat="1" applyFont="1" applyFill="1" applyBorder="1" applyAlignment="1">
      <alignment textRotation="90"/>
    </xf>
    <xf numFmtId="0" fontId="10" fillId="3" borderId="0" xfId="0" applyFont="1" applyFill="1" applyBorder="1" applyAlignment="1">
      <alignment textRotation="90"/>
    </xf>
    <xf numFmtId="0" fontId="10" fillId="0" borderId="0" xfId="0" applyFont="1" applyBorder="1" applyAlignment="1">
      <alignment textRotation="90"/>
    </xf>
    <xf numFmtId="0" fontId="18" fillId="0" borderId="0" xfId="0" applyFont="1" applyFill="1"/>
    <xf numFmtId="0" fontId="10" fillId="0" borderId="0" xfId="0" applyFont="1" applyAlignment="1">
      <alignment textRotation="90"/>
    </xf>
    <xf numFmtId="0" fontId="10" fillId="0" borderId="6" xfId="0" applyFont="1" applyBorder="1" applyAlignment="1">
      <alignment textRotation="90"/>
    </xf>
    <xf numFmtId="0" fontId="10" fillId="0" borderId="7" xfId="0" applyFont="1" applyBorder="1" applyAlignment="1">
      <alignment textRotation="90"/>
    </xf>
    <xf numFmtId="0" fontId="10" fillId="0" borderId="8" xfId="0" applyFont="1" applyBorder="1" applyAlignment="1">
      <alignment textRotation="90"/>
    </xf>
    <xf numFmtId="0" fontId="23" fillId="0" borderId="0" xfId="0" applyFont="1" applyAlignment="1">
      <alignment textRotation="90"/>
    </xf>
    <xf numFmtId="1" fontId="23" fillId="0" borderId="0" xfId="0" applyNumberFormat="1" applyFont="1" applyAlignment="1">
      <alignment textRotation="90"/>
    </xf>
    <xf numFmtId="1" fontId="23" fillId="0" borderId="2" xfId="0" applyNumberFormat="1" applyFont="1" applyBorder="1" applyAlignment="1">
      <alignment textRotation="90"/>
    </xf>
    <xf numFmtId="1" fontId="23" fillId="0" borderId="0" xfId="0" applyNumberFormat="1" applyFont="1" applyBorder="1" applyAlignment="1">
      <alignment textRotation="90"/>
    </xf>
    <xf numFmtId="1" fontId="23" fillId="0" borderId="1" xfId="0" applyNumberFormat="1" applyFont="1" applyBorder="1" applyAlignment="1">
      <alignment textRotation="90"/>
    </xf>
    <xf numFmtId="1" fontId="23" fillId="3" borderId="0" xfId="0" applyNumberFormat="1" applyFont="1" applyFill="1" applyAlignment="1">
      <alignment textRotation="90"/>
    </xf>
    <xf numFmtId="0" fontId="23" fillId="3" borderId="26" xfId="0" applyFont="1" applyFill="1" applyBorder="1" applyAlignment="1">
      <alignment textRotation="90"/>
    </xf>
    <xf numFmtId="0" fontId="24" fillId="0" borderId="0" xfId="0" applyFont="1" applyFill="1" applyAlignment="1">
      <alignment textRotation="90"/>
    </xf>
    <xf numFmtId="1" fontId="10" fillId="0" borderId="0" xfId="0" applyNumberFormat="1" applyFont="1" applyAlignment="1">
      <alignment textRotation="90"/>
    </xf>
    <xf numFmtId="0" fontId="23" fillId="0" borderId="2" xfId="0" applyFont="1" applyBorder="1" applyAlignment="1">
      <alignment textRotation="90"/>
    </xf>
    <xf numFmtId="0" fontId="23" fillId="0" borderId="0" xfId="0" applyFont="1" applyBorder="1" applyAlignment="1">
      <alignment textRotation="90"/>
    </xf>
    <xf numFmtId="0" fontId="23" fillId="0" borderId="1" xfId="0" applyFont="1" applyBorder="1" applyAlignment="1">
      <alignment textRotation="90"/>
    </xf>
    <xf numFmtId="0" fontId="23" fillId="3" borderId="0" xfId="0" applyFont="1" applyFill="1" applyAlignment="1">
      <alignment textRotation="90"/>
    </xf>
    <xf numFmtId="0" fontId="19" fillId="0" borderId="0" xfId="0" applyFont="1" applyFill="1"/>
    <xf numFmtId="0" fontId="10" fillId="0" borderId="0" xfId="0" applyFont="1" applyAlignment="1">
      <alignment horizontal="center" vertical="center" textRotation="90"/>
    </xf>
    <xf numFmtId="0" fontId="10" fillId="0" borderId="5" xfId="0" applyFont="1" applyBorder="1" applyAlignment="1">
      <alignment textRotation="90"/>
    </xf>
    <xf numFmtId="0" fontId="10" fillId="0" borderId="3" xfId="0" applyFont="1" applyBorder="1" applyAlignment="1">
      <alignment textRotation="90"/>
    </xf>
    <xf numFmtId="0" fontId="10" fillId="7" borderId="4" xfId="0" applyFont="1" applyFill="1" applyBorder="1" applyAlignment="1">
      <alignment textRotation="90"/>
    </xf>
    <xf numFmtId="0" fontId="3" fillId="0" borderId="0" xfId="0" applyFont="1" applyAlignment="1">
      <alignment textRotation="90"/>
    </xf>
    <xf numFmtId="0" fontId="0" fillId="7" borderId="0" xfId="0" applyFill="1"/>
    <xf numFmtId="0" fontId="0" fillId="0" borderId="27" xfId="0" applyBorder="1"/>
    <xf numFmtId="0" fontId="0" fillId="0" borderId="17" xfId="0" applyBorder="1"/>
    <xf numFmtId="0" fontId="0" fillId="12" borderId="25" xfId="0" applyFill="1" applyBorder="1"/>
    <xf numFmtId="0" fontId="1" fillId="0" borderId="0" xfId="0" applyFont="1" applyFill="1" applyBorder="1"/>
    <xf numFmtId="0" fontId="2" fillId="5" borderId="0" xfId="0" applyFont="1" applyFill="1" applyAlignment="1">
      <alignment horizontal="right"/>
    </xf>
    <xf numFmtId="2" fontId="2" fillId="12" borderId="17" xfId="0" applyNumberFormat="1" applyFont="1" applyFill="1" applyBorder="1"/>
    <xf numFmtId="0" fontId="0" fillId="12" borderId="26" xfId="0" applyFill="1" applyBorder="1"/>
    <xf numFmtId="0" fontId="0" fillId="7" borderId="3" xfId="0" applyFill="1" applyBorder="1"/>
    <xf numFmtId="0" fontId="1" fillId="13" borderId="3" xfId="0" applyFont="1" applyFill="1" applyBorder="1"/>
    <xf numFmtId="0" fontId="0" fillId="7" borderId="22" xfId="0" applyFill="1" applyBorder="1" applyAlignment="1">
      <alignment horizontal="center"/>
    </xf>
    <xf numFmtId="2" fontId="2" fillId="5" borderId="5" xfId="0" applyNumberFormat="1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" xfId="0" applyFill="1" applyBorder="1"/>
    <xf numFmtId="2" fontId="0" fillId="7" borderId="5" xfId="0" applyNumberFormat="1" applyFill="1" applyBorder="1"/>
    <xf numFmtId="0" fontId="0" fillId="0" borderId="28" xfId="0" applyBorder="1"/>
    <xf numFmtId="0" fontId="0" fillId="0" borderId="22" xfId="0" applyBorder="1"/>
    <xf numFmtId="0" fontId="0" fillId="12" borderId="24" xfId="0" applyFill="1" applyBorder="1"/>
    <xf numFmtId="185" fontId="2" fillId="5" borderId="0" xfId="0" applyNumberFormat="1" applyFont="1" applyFill="1" applyBorder="1"/>
    <xf numFmtId="0" fontId="2" fillId="0" borderId="17" xfId="0" applyFont="1" applyBorder="1"/>
    <xf numFmtId="0" fontId="0" fillId="7" borderId="5" xfId="0" applyFill="1" applyBorder="1"/>
    <xf numFmtId="0" fontId="0" fillId="7" borderId="4" xfId="0" applyFill="1" applyBorder="1"/>
    <xf numFmtId="2" fontId="2" fillId="0" borderId="22" xfId="0" applyNumberFormat="1" applyFont="1" applyBorder="1"/>
    <xf numFmtId="0" fontId="1" fillId="0" borderId="3" xfId="0" applyFont="1" applyFill="1" applyBorder="1"/>
    <xf numFmtId="0" fontId="0" fillId="14" borderId="4" xfId="0" applyFill="1" applyBorder="1" applyAlignment="1">
      <alignment horizontal="center"/>
    </xf>
    <xf numFmtId="2" fontId="2" fillId="5" borderId="3" xfId="0" applyNumberFormat="1" applyFont="1" applyFill="1" applyBorder="1"/>
    <xf numFmtId="0" fontId="0" fillId="14" borderId="0" xfId="0" applyFill="1"/>
    <xf numFmtId="0" fontId="0" fillId="6" borderId="0" xfId="0" applyFill="1"/>
    <xf numFmtId="185" fontId="2" fillId="3" borderId="0" xfId="0" applyNumberFormat="1" applyFont="1" applyFill="1" applyBorder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" fontId="0" fillId="0" borderId="5" xfId="0" applyNumberFormat="1" applyFill="1" applyBorder="1"/>
    <xf numFmtId="0" fontId="1" fillId="13" borderId="0" xfId="0" applyFont="1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4" xfId="0" applyFill="1" applyBorder="1"/>
    <xf numFmtId="1" fontId="0" fillId="11" borderId="4" xfId="0" applyNumberFormat="1" applyFill="1" applyBorder="1" applyAlignment="1">
      <alignment horizontal="center"/>
    </xf>
    <xf numFmtId="0" fontId="0" fillId="3" borderId="6" xfId="0" applyFill="1" applyBorder="1"/>
    <xf numFmtId="185" fontId="2" fillId="3" borderId="5" xfId="0" applyNumberFormat="1" applyFont="1" applyFill="1" applyBorder="1"/>
    <xf numFmtId="185" fontId="0" fillId="11" borderId="0" xfId="0" applyNumberFormat="1" applyFill="1"/>
    <xf numFmtId="0" fontId="0" fillId="3" borderId="4" xfId="0" applyFill="1" applyBorder="1"/>
    <xf numFmtId="185" fontId="2" fillId="0" borderId="22" xfId="0" applyNumberFormat="1" applyFont="1" applyBorder="1"/>
    <xf numFmtId="0" fontId="25" fillId="0" borderId="0" xfId="1" applyAlignment="1" applyProtection="1"/>
    <xf numFmtId="0" fontId="0" fillId="14" borderId="4" xfId="0" applyFill="1" applyBorder="1"/>
    <xf numFmtId="2" fontId="0" fillId="6" borderId="3" xfId="0" applyNumberFormat="1" applyFill="1" applyBorder="1"/>
    <xf numFmtId="0" fontId="0" fillId="0" borderId="19" xfId="0" applyBorder="1"/>
    <xf numFmtId="0" fontId="0" fillId="0" borderId="29" xfId="0" applyBorder="1"/>
    <xf numFmtId="0" fontId="0" fillId="15" borderId="0" xfId="0" applyFill="1"/>
    <xf numFmtId="185" fontId="2" fillId="15" borderId="0" xfId="0" applyNumberFormat="1" applyFont="1" applyFill="1" applyBorder="1" applyAlignment="1">
      <alignment horizontal="right"/>
    </xf>
    <xf numFmtId="185" fontId="2" fillId="15" borderId="0" xfId="0" applyNumberFormat="1" applyFont="1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185" fontId="2" fillId="15" borderId="5" xfId="0" applyNumberFormat="1" applyFont="1" applyFill="1" applyBorder="1"/>
    <xf numFmtId="0" fontId="0" fillId="15" borderId="5" xfId="0" applyFill="1" applyBorder="1"/>
    <xf numFmtId="0" fontId="0" fillId="15" borderId="3" xfId="0" applyFill="1" applyBorder="1"/>
    <xf numFmtId="0" fontId="0" fillId="15" borderId="4" xfId="0" applyFill="1" applyBorder="1"/>
    <xf numFmtId="2" fontId="0" fillId="6" borderId="5" xfId="0" applyNumberFormat="1" applyFill="1" applyBorder="1"/>
    <xf numFmtId="2" fontId="0" fillId="0" borderId="3" xfId="0" applyNumberFormat="1" applyBorder="1"/>
    <xf numFmtId="0" fontId="0" fillId="16" borderId="0" xfId="0" applyFill="1"/>
    <xf numFmtId="185" fontId="2" fillId="6" borderId="0" xfId="0" applyNumberFormat="1" applyFont="1" applyFill="1" applyBorder="1" applyAlignment="1">
      <alignment horizontal="right"/>
    </xf>
    <xf numFmtId="185" fontId="2" fillId="6" borderId="0" xfId="0" applyNumberFormat="1" applyFont="1" applyFill="1" applyBorder="1"/>
    <xf numFmtId="185" fontId="2" fillId="6" borderId="5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0" fillId="9" borderId="0" xfId="0" applyFill="1"/>
    <xf numFmtId="0" fontId="2" fillId="9" borderId="0" xfId="0" applyFont="1" applyFill="1" applyAlignment="1">
      <alignment horizontal="right"/>
    </xf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185" fontId="2" fillId="9" borderId="5" xfId="0" applyNumberFormat="1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9" borderId="4" xfId="0" applyFill="1" applyBorder="1"/>
    <xf numFmtId="185" fontId="2" fillId="9" borderId="0" xfId="0" applyNumberFormat="1" applyFont="1" applyFill="1"/>
    <xf numFmtId="2" fontId="0" fillId="0" borderId="0" xfId="0" applyNumberFormat="1" applyBorder="1"/>
    <xf numFmtId="185" fontId="2" fillId="9" borderId="30" xfId="0" applyNumberFormat="1" applyFont="1" applyFill="1" applyBorder="1"/>
    <xf numFmtId="0" fontId="0" fillId="0" borderId="31" xfId="0" applyFill="1" applyBorder="1"/>
    <xf numFmtId="0" fontId="26" fillId="0" borderId="3" xfId="0" applyFont="1" applyBorder="1"/>
    <xf numFmtId="1" fontId="26" fillId="14" borderId="4" xfId="0" applyNumberFormat="1" applyFont="1" applyFill="1" applyBorder="1"/>
    <xf numFmtId="0" fontId="26" fillId="14" borderId="0" xfId="0" applyFont="1" applyFill="1"/>
    <xf numFmtId="0" fontId="26" fillId="9" borderId="0" xfId="0" applyFont="1" applyFill="1"/>
    <xf numFmtId="0" fontId="0" fillId="12" borderId="0" xfId="0" applyFill="1" applyBorder="1"/>
    <xf numFmtId="0" fontId="2" fillId="12" borderId="0" xfId="0" applyFont="1" applyFill="1" applyBorder="1" applyAlignment="1">
      <alignment horizontal="right"/>
    </xf>
    <xf numFmtId="2" fontId="0" fillId="6" borderId="31" xfId="0" applyNumberFormat="1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185" fontId="2" fillId="12" borderId="5" xfId="0" applyNumberFormat="1" applyFon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4" xfId="0" applyFill="1" applyBorder="1"/>
    <xf numFmtId="185" fontId="2" fillId="12" borderId="0" xfId="0" applyNumberFormat="1" applyFont="1" applyFill="1" applyBorder="1"/>
    <xf numFmtId="0" fontId="0" fillId="12" borderId="0" xfId="0" applyFill="1"/>
    <xf numFmtId="2" fontId="0" fillId="6" borderId="4" xfId="0" applyNumberFormat="1" applyFill="1" applyBorder="1"/>
    <xf numFmtId="185" fontId="0" fillId="0" borderId="3" xfId="0" applyNumberFormat="1" applyBorder="1"/>
    <xf numFmtId="0" fontId="0" fillId="17" borderId="0" xfId="0" applyFill="1"/>
    <xf numFmtId="185" fontId="2" fillId="17" borderId="0" xfId="0" applyNumberFormat="1" applyFont="1" applyFill="1" applyBorder="1" applyAlignment="1">
      <alignment horizontal="right"/>
    </xf>
    <xf numFmtId="185" fontId="2" fillId="17" borderId="0" xfId="0" applyNumberFormat="1" applyFont="1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185" fontId="2" fillId="17" borderId="5" xfId="0" applyNumberFormat="1" applyFont="1" applyFill="1" applyBorder="1"/>
    <xf numFmtId="185" fontId="2" fillId="0" borderId="3" xfId="0" applyNumberFormat="1" applyFont="1" applyBorder="1"/>
    <xf numFmtId="0" fontId="0" fillId="17" borderId="5" xfId="0" applyFill="1" applyBorder="1"/>
    <xf numFmtId="0" fontId="0" fillId="17" borderId="3" xfId="0" applyFill="1" applyBorder="1"/>
    <xf numFmtId="0" fontId="0" fillId="17" borderId="4" xfId="0" applyFill="1" applyBorder="1"/>
    <xf numFmtId="185" fontId="2" fillId="17" borderId="2" xfId="0" applyNumberFormat="1" applyFont="1" applyFill="1" applyBorder="1"/>
    <xf numFmtId="0" fontId="0" fillId="2" borderId="0" xfId="0" applyFill="1"/>
    <xf numFmtId="185" fontId="2" fillId="2" borderId="0" xfId="0" applyNumberFormat="1" applyFont="1" applyFill="1" applyBorder="1" applyAlignment="1">
      <alignment horizontal="right"/>
    </xf>
    <xf numFmtId="185" fontId="2" fillId="2" borderId="0" xfId="0" applyNumberFormat="1" applyFont="1" applyFill="1" applyBorder="1"/>
    <xf numFmtId="0" fontId="0" fillId="2" borderId="6" xfId="0" applyFill="1" applyBorder="1"/>
    <xf numFmtId="185" fontId="2" fillId="2" borderId="5" xfId="0" applyNumberFormat="1" applyFont="1" applyFill="1" applyBorder="1"/>
    <xf numFmtId="0" fontId="0" fillId="2" borderId="5" xfId="0" applyFill="1" applyBorder="1"/>
    <xf numFmtId="0" fontId="0" fillId="2" borderId="3" xfId="0" applyFill="1" applyBorder="1"/>
    <xf numFmtId="0" fontId="0" fillId="10" borderId="0" xfId="0" applyFill="1"/>
    <xf numFmtId="185" fontId="2" fillId="10" borderId="0" xfId="0" applyNumberFormat="1" applyFont="1" applyFill="1" applyBorder="1" applyAlignment="1">
      <alignment horizontal="right"/>
    </xf>
    <xf numFmtId="185" fontId="2" fillId="10" borderId="0" xfId="0" applyNumberFormat="1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185" fontId="2" fillId="10" borderId="5" xfId="0" applyNumberFormat="1" applyFont="1" applyFill="1" applyBorder="1"/>
    <xf numFmtId="0" fontId="0" fillId="10" borderId="5" xfId="0" applyFill="1" applyBorder="1"/>
    <xf numFmtId="0" fontId="0" fillId="10" borderId="3" xfId="0" applyFill="1" applyBorder="1"/>
    <xf numFmtId="0" fontId="0" fillId="10" borderId="4" xfId="0" applyFill="1" applyBorder="1"/>
    <xf numFmtId="185" fontId="2" fillId="9" borderId="0" xfId="0" applyNumberFormat="1" applyFont="1" applyFill="1" applyBorder="1" applyAlignment="1">
      <alignment horizontal="right"/>
    </xf>
    <xf numFmtId="185" fontId="2" fillId="9" borderId="0" xfId="0" applyNumberFormat="1" applyFont="1" applyFill="1" applyBorder="1"/>
    <xf numFmtId="185" fontId="2" fillId="9" borderId="3" xfId="0" applyNumberFormat="1" applyFont="1" applyFill="1" applyBorder="1"/>
    <xf numFmtId="185" fontId="2" fillId="8" borderId="0" xfId="0" applyNumberFormat="1" applyFont="1" applyFill="1" applyBorder="1" applyAlignment="1">
      <alignment horizontal="right"/>
    </xf>
    <xf numFmtId="185" fontId="2" fillId="8" borderId="0" xfId="0" applyNumberFormat="1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185" fontId="2" fillId="8" borderId="5" xfId="0" applyNumberFormat="1" applyFont="1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4" xfId="0" applyFill="1" applyBorder="1"/>
    <xf numFmtId="185" fontId="2" fillId="16" borderId="0" xfId="0" applyNumberFormat="1" applyFont="1" applyFill="1" applyBorder="1" applyAlignment="1">
      <alignment horizontal="right"/>
    </xf>
    <xf numFmtId="185" fontId="2" fillId="16" borderId="0" xfId="0" applyNumberFormat="1" applyFont="1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185" fontId="2" fillId="16" borderId="5" xfId="0" applyNumberFormat="1" applyFont="1" applyFill="1" applyBorder="1"/>
    <xf numFmtId="0" fontId="0" fillId="16" borderId="5" xfId="0" applyFill="1" applyBorder="1"/>
    <xf numFmtId="0" fontId="0" fillId="16" borderId="3" xfId="0" applyFill="1" applyBorder="1"/>
    <xf numFmtId="0" fontId="0" fillId="16" borderId="4" xfId="0" applyFill="1" applyBorder="1"/>
    <xf numFmtId="185" fontId="2" fillId="12" borderId="0" xfId="0" applyNumberFormat="1" applyFont="1" applyFill="1" applyBorder="1" applyAlignment="1">
      <alignment horizontal="right"/>
    </xf>
    <xf numFmtId="1" fontId="0" fillId="7" borderId="22" xfId="0" applyNumberFormat="1" applyFill="1" applyBorder="1" applyAlignment="1">
      <alignment horizontal="center"/>
    </xf>
    <xf numFmtId="185" fontId="2" fillId="12" borderId="3" xfId="0" applyNumberFormat="1" applyFont="1" applyFill="1" applyBorder="1"/>
    <xf numFmtId="0" fontId="0" fillId="11" borderId="0" xfId="0" applyFill="1"/>
    <xf numFmtId="185" fontId="2" fillId="5" borderId="0" xfId="0" applyNumberFormat="1" applyFont="1" applyFill="1" applyBorder="1" applyAlignment="1">
      <alignment horizontal="right"/>
    </xf>
    <xf numFmtId="0" fontId="26" fillId="14" borderId="4" xfId="0" applyFont="1" applyFill="1" applyBorder="1"/>
    <xf numFmtId="185" fontId="2" fillId="5" borderId="3" xfId="0" applyNumberFormat="1" applyFont="1" applyFill="1" applyBorder="1"/>
    <xf numFmtId="185" fontId="2" fillId="5" borderId="5" xfId="0" applyNumberFormat="1" applyFont="1" applyFill="1" applyBorder="1"/>
    <xf numFmtId="0" fontId="0" fillId="0" borderId="32" xfId="0" applyBorder="1"/>
    <xf numFmtId="0" fontId="1" fillId="0" borderId="0" xfId="0" applyFont="1" applyFill="1"/>
    <xf numFmtId="0" fontId="1" fillId="15" borderId="6" xfId="0" applyFont="1" applyFill="1" applyBorder="1"/>
    <xf numFmtId="0" fontId="1" fillId="15" borderId="7" xfId="0" applyFont="1" applyFill="1" applyBorder="1"/>
    <xf numFmtId="185" fontId="16" fillId="15" borderId="8" xfId="0" applyNumberFormat="1" applyFont="1" applyFill="1" applyBorder="1" applyAlignment="1">
      <alignment horizontal="right"/>
    </xf>
    <xf numFmtId="0" fontId="1" fillId="15" borderId="2" xfId="0" applyFont="1" applyFill="1" applyBorder="1"/>
    <xf numFmtId="0" fontId="1" fillId="15" borderId="0" xfId="0" applyFont="1" applyFill="1" applyBorder="1"/>
    <xf numFmtId="185" fontId="16" fillId="15" borderId="1" xfId="0" applyNumberFormat="1" applyFont="1" applyFill="1" applyBorder="1"/>
    <xf numFmtId="0" fontId="26" fillId="0" borderId="4" xfId="0" applyFont="1" applyBorder="1"/>
    <xf numFmtId="1" fontId="26" fillId="14" borderId="24" xfId="0" applyNumberFormat="1" applyFont="1" applyFill="1" applyBorder="1"/>
    <xf numFmtId="0" fontId="1" fillId="15" borderId="8" xfId="0" applyFont="1" applyFill="1" applyBorder="1"/>
    <xf numFmtId="0" fontId="1" fillId="15" borderId="5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185" fontId="16" fillId="15" borderId="4" xfId="0" applyNumberFormat="1" applyFont="1" applyFill="1" applyBorder="1"/>
    <xf numFmtId="0" fontId="26" fillId="0" borderId="0" xfId="0" applyFont="1" applyFill="1"/>
    <xf numFmtId="0" fontId="29" fillId="18" borderId="0" xfId="0" applyFont="1" applyFill="1" applyBorder="1" applyAlignment="1">
      <alignment horizontal="left"/>
    </xf>
    <xf numFmtId="0" fontId="0" fillId="18" borderId="0" xfId="0" applyFill="1"/>
    <xf numFmtId="0" fontId="30" fillId="0" borderId="0" xfId="0" applyFont="1" applyFill="1" applyBorder="1" applyAlignment="1">
      <alignment horizontal="left"/>
    </xf>
    <xf numFmtId="0" fontId="2" fillId="16" borderId="33" xfId="0" applyFont="1" applyFill="1" applyBorder="1"/>
    <xf numFmtId="0" fontId="2" fillId="16" borderId="33" xfId="0" applyFont="1" applyFill="1" applyBorder="1" applyAlignment="1">
      <alignment horizontal="left"/>
    </xf>
    <xf numFmtId="0" fontId="18" fillId="19" borderId="34" xfId="0" applyFont="1" applyFill="1" applyBorder="1"/>
    <xf numFmtId="0" fontId="18" fillId="19" borderId="34" xfId="0" applyFont="1" applyFill="1" applyBorder="1" applyAlignment="1">
      <alignment horizontal="left"/>
    </xf>
    <xf numFmtId="2" fontId="0" fillId="0" borderId="0" xfId="0" applyNumberFormat="1" applyFill="1"/>
    <xf numFmtId="185" fontId="0" fillId="0" borderId="0" xfId="0" applyNumberFormat="1"/>
    <xf numFmtId="0" fontId="18" fillId="0" borderId="20" xfId="0" applyFont="1" applyFill="1" applyBorder="1"/>
    <xf numFmtId="0" fontId="0" fillId="0" borderId="20" xfId="0" applyFill="1" applyBorder="1"/>
    <xf numFmtId="0" fontId="0" fillId="0" borderId="13" xfId="0" applyFill="1" applyBorder="1"/>
    <xf numFmtId="2" fontId="0" fillId="0" borderId="20" xfId="0" applyNumberFormat="1" applyFill="1" applyBorder="1"/>
    <xf numFmtId="185" fontId="0" fillId="0" borderId="20" xfId="0" applyNumberFormat="1" applyFill="1" applyBorder="1"/>
    <xf numFmtId="1" fontId="4" fillId="4" borderId="3" xfId="0" applyNumberFormat="1" applyFont="1" applyFill="1" applyBorder="1" applyAlignment="1">
      <alignment horizontal="right" vertical="center" indent="1"/>
    </xf>
    <xf numFmtId="2" fontId="4" fillId="4" borderId="3" xfId="0" applyNumberFormat="1" applyFont="1" applyFill="1" applyBorder="1" applyAlignment="1">
      <alignment horizontal="right" vertical="center" indent="1"/>
    </xf>
    <xf numFmtId="185" fontId="0" fillId="0" borderId="0" xfId="0" applyNumberFormat="1" applyFill="1"/>
    <xf numFmtId="2" fontId="0" fillId="0" borderId="0" xfId="0" applyNumberFormat="1" applyFill="1" applyBorder="1"/>
    <xf numFmtId="185" fontId="0" fillId="0" borderId="0" xfId="0" applyNumberFormat="1" applyFill="1" applyBorder="1"/>
    <xf numFmtId="2" fontId="0" fillId="0" borderId="13" xfId="0" applyNumberFormat="1" applyFill="1" applyBorder="1"/>
    <xf numFmtId="2" fontId="0" fillId="0" borderId="0" xfId="0" applyNumberFormat="1"/>
    <xf numFmtId="0" fontId="0" fillId="0" borderId="20" xfId="0" applyBorder="1"/>
    <xf numFmtId="2" fontId="0" fillId="20" borderId="0" xfId="0" applyNumberFormat="1" applyFill="1" applyBorder="1"/>
    <xf numFmtId="2" fontId="0" fillId="20" borderId="20" xfId="0" applyNumberFormat="1" applyFill="1" applyBorder="1"/>
    <xf numFmtId="0" fontId="0" fillId="21" borderId="0" xfId="0" applyFill="1" applyBorder="1"/>
    <xf numFmtId="0" fontId="2" fillId="16" borderId="33" xfId="0" applyFont="1" applyFill="1" applyBorder="1" applyAlignment="1">
      <alignment horizontal="right"/>
    </xf>
    <xf numFmtId="0" fontId="2" fillId="16" borderId="0" xfId="0" applyFont="1" applyFill="1" applyBorder="1" applyAlignment="1">
      <alignment horizontal="right"/>
    </xf>
    <xf numFmtId="188" fontId="30" fillId="0" borderId="0" xfId="0" applyNumberFormat="1" applyFont="1"/>
    <xf numFmtId="188" fontId="0" fillId="0" borderId="0" xfId="0" applyNumberFormat="1"/>
    <xf numFmtId="188" fontId="2" fillId="16" borderId="35" xfId="0" applyNumberFormat="1" applyFont="1" applyFill="1" applyBorder="1"/>
    <xf numFmtId="188" fontId="2" fillId="16" borderId="33" xfId="0" applyNumberFormat="1" applyFont="1" applyFill="1" applyBorder="1"/>
    <xf numFmtId="188" fontId="2" fillId="16" borderId="36" xfId="0" applyNumberFormat="1" applyFont="1" applyFill="1" applyBorder="1"/>
    <xf numFmtId="188" fontId="18" fillId="0" borderId="0" xfId="0" applyNumberFormat="1" applyFont="1" applyFill="1"/>
    <xf numFmtId="188" fontId="18" fillId="0" borderId="0" xfId="0" applyNumberFormat="1" applyFont="1"/>
    <xf numFmtId="188" fontId="0" fillId="0" borderId="0" xfId="0" applyNumberFormat="1" applyFill="1"/>
    <xf numFmtId="188" fontId="18" fillId="0" borderId="0" xfId="0" applyNumberFormat="1" applyFont="1" applyFill="1" applyBorder="1"/>
    <xf numFmtId="188" fontId="0" fillId="0" borderId="0" xfId="0" applyNumberFormat="1" applyBorder="1"/>
    <xf numFmtId="188" fontId="0" fillId="0" borderId="20" xfId="0" applyNumberFormat="1" applyBorder="1"/>
    <xf numFmtId="188" fontId="18" fillId="0" borderId="20" xfId="0" applyNumberFormat="1" applyFont="1" applyFill="1" applyBorder="1"/>
    <xf numFmtId="188" fontId="33" fillId="0" borderId="0" xfId="0" applyNumberFormat="1" applyFont="1"/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16" fillId="12" borderId="0" xfId="0" applyFont="1" applyFill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left"/>
    </xf>
    <xf numFmtId="0" fontId="3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8" fillId="0" borderId="0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47</xdr:row>
      <xdr:rowOff>61913</xdr:rowOff>
    </xdr:from>
    <xdr:to>
      <xdr:col>1</xdr:col>
      <xdr:colOff>123825</xdr:colOff>
      <xdr:row>47</xdr:row>
      <xdr:rowOff>61913</xdr:rowOff>
    </xdr:to>
    <xdr:sp macro="" textlink="">
      <xdr:nvSpPr>
        <xdr:cNvPr id="1349" name="Line 1">
          <a:extLst>
            <a:ext uri="{FF2B5EF4-FFF2-40B4-BE49-F238E27FC236}">
              <a16:creationId xmlns:a16="http://schemas.microsoft.com/office/drawing/2014/main" id="{2AA10BB1-A7F8-43D1-86FF-4F637DF686AC}"/>
            </a:ext>
          </a:extLst>
        </xdr:cNvPr>
        <xdr:cNvSpPr>
          <a:spLocks noChangeShapeType="1"/>
        </xdr:cNvSpPr>
      </xdr:nvSpPr>
      <xdr:spPr bwMode="auto">
        <a:xfrm>
          <a:off x="552450" y="9086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350" name="Line 2">
          <a:extLst>
            <a:ext uri="{FF2B5EF4-FFF2-40B4-BE49-F238E27FC236}">
              <a16:creationId xmlns:a16="http://schemas.microsoft.com/office/drawing/2014/main" id="{4C9F3EBB-6900-4F6D-8E44-55792632C988}"/>
            </a:ext>
          </a:extLst>
        </xdr:cNvPr>
        <xdr:cNvSpPr>
          <a:spLocks noChangeShapeType="1"/>
        </xdr:cNvSpPr>
      </xdr:nvSpPr>
      <xdr:spPr bwMode="auto">
        <a:xfrm>
          <a:off x="5329238" y="2686050"/>
          <a:ext cx="0" cy="2881313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28</xdr:row>
      <xdr:rowOff>19050</xdr:rowOff>
    </xdr:from>
    <xdr:to>
      <xdr:col>12</xdr:col>
      <xdr:colOff>0</xdr:colOff>
      <xdr:row>41</xdr:row>
      <xdr:rowOff>19050</xdr:rowOff>
    </xdr:to>
    <xdr:sp macro="" textlink="">
      <xdr:nvSpPr>
        <xdr:cNvPr id="1351" name="Line 3">
          <a:extLst>
            <a:ext uri="{FF2B5EF4-FFF2-40B4-BE49-F238E27FC236}">
              <a16:creationId xmlns:a16="http://schemas.microsoft.com/office/drawing/2014/main" id="{5113B50A-2486-4D00-8A68-9778237C0596}"/>
            </a:ext>
          </a:extLst>
        </xdr:cNvPr>
        <xdr:cNvSpPr>
          <a:spLocks noChangeShapeType="1"/>
        </xdr:cNvSpPr>
      </xdr:nvSpPr>
      <xdr:spPr bwMode="auto">
        <a:xfrm>
          <a:off x="9324975" y="5586413"/>
          <a:ext cx="0" cy="241458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414338</xdr:colOff>
      <xdr:row>10</xdr:row>
      <xdr:rowOff>0</xdr:rowOff>
    </xdr:from>
    <xdr:to>
      <xdr:col>4</xdr:col>
      <xdr:colOff>495300</xdr:colOff>
      <xdr:row>13</xdr:row>
      <xdr:rowOff>76200</xdr:rowOff>
    </xdr:to>
    <xdr:sp macro="" textlink="">
      <xdr:nvSpPr>
        <xdr:cNvPr id="5675" name="Oval 1">
          <a:extLst>
            <a:ext uri="{FF2B5EF4-FFF2-40B4-BE49-F238E27FC236}">
              <a16:creationId xmlns:a16="http://schemas.microsoft.com/office/drawing/2014/main" id="{07AE351A-42F6-4250-9E97-C1BEEBE6FD8B}"/>
            </a:ext>
          </a:extLst>
        </xdr:cNvPr>
        <xdr:cNvSpPr>
          <a:spLocks noChangeArrowheads="1"/>
        </xdr:cNvSpPr>
      </xdr:nvSpPr>
      <xdr:spPr bwMode="auto">
        <a:xfrm>
          <a:off x="2543175" y="2247900"/>
          <a:ext cx="728663" cy="704850"/>
        </a:xfrm>
        <a:prstGeom prst="ellipse">
          <a:avLst/>
        </a:prstGeom>
        <a:solidFill>
          <a:srgbClr val="00FF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609600</xdr:colOff>
      <xdr:row>10</xdr:row>
      <xdr:rowOff>161925</xdr:rowOff>
    </xdr:from>
    <xdr:to>
      <xdr:col>4</xdr:col>
      <xdr:colOff>423759</xdr:colOff>
      <xdr:row>12</xdr:row>
      <xdr:rowOff>114300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E39F3934-EAED-4E12-A1A7-9BBB7652CC23}"/>
            </a:ext>
          </a:extLst>
        </xdr:cNvPr>
        <xdr:cNvSpPr txBox="1">
          <a:spLocks noChangeArrowheads="1"/>
        </xdr:cNvSpPr>
      </xdr:nvSpPr>
      <xdr:spPr bwMode="auto">
        <a:xfrm>
          <a:off x="2562225" y="240982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414338</xdr:colOff>
      <xdr:row>46</xdr:row>
      <xdr:rowOff>0</xdr:rowOff>
    </xdr:from>
    <xdr:to>
      <xdr:col>4</xdr:col>
      <xdr:colOff>423863</xdr:colOff>
      <xdr:row>49</xdr:row>
      <xdr:rowOff>28575</xdr:rowOff>
    </xdr:to>
    <xdr:sp macro="" textlink="">
      <xdr:nvSpPr>
        <xdr:cNvPr id="5677" name="Oval 3">
          <a:extLst>
            <a:ext uri="{FF2B5EF4-FFF2-40B4-BE49-F238E27FC236}">
              <a16:creationId xmlns:a16="http://schemas.microsoft.com/office/drawing/2014/main" id="{D7309061-7548-4AA3-96A7-ED9A61F39FF6}"/>
            </a:ext>
          </a:extLst>
        </xdr:cNvPr>
        <xdr:cNvSpPr>
          <a:spLocks noChangeArrowheads="1"/>
        </xdr:cNvSpPr>
      </xdr:nvSpPr>
      <xdr:spPr bwMode="auto">
        <a:xfrm>
          <a:off x="2543175" y="9791700"/>
          <a:ext cx="657225" cy="657225"/>
        </a:xfrm>
        <a:prstGeom prst="ellipse">
          <a:avLst/>
        </a:prstGeom>
        <a:solidFill>
          <a:srgbClr val="FFCC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414338</xdr:colOff>
      <xdr:row>58</xdr:row>
      <xdr:rowOff>0</xdr:rowOff>
    </xdr:from>
    <xdr:to>
      <xdr:col>4</xdr:col>
      <xdr:colOff>466725</xdr:colOff>
      <xdr:row>61</xdr:row>
      <xdr:rowOff>76200</xdr:rowOff>
    </xdr:to>
    <xdr:sp macro="" textlink="">
      <xdr:nvSpPr>
        <xdr:cNvPr id="5678" name="Oval 4">
          <a:extLst>
            <a:ext uri="{FF2B5EF4-FFF2-40B4-BE49-F238E27FC236}">
              <a16:creationId xmlns:a16="http://schemas.microsoft.com/office/drawing/2014/main" id="{69CEAD12-EA89-4C0B-8059-7D5BBB7677D4}"/>
            </a:ext>
          </a:extLst>
        </xdr:cNvPr>
        <xdr:cNvSpPr>
          <a:spLocks noChangeArrowheads="1"/>
        </xdr:cNvSpPr>
      </xdr:nvSpPr>
      <xdr:spPr bwMode="auto">
        <a:xfrm>
          <a:off x="2543175" y="12306300"/>
          <a:ext cx="700088" cy="704850"/>
        </a:xfrm>
        <a:prstGeom prst="ellipse">
          <a:avLst/>
        </a:prstGeom>
        <a:solidFill>
          <a:srgbClr val="33CCCC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414338</xdr:colOff>
      <xdr:row>70</xdr:row>
      <xdr:rowOff>0</xdr:rowOff>
    </xdr:from>
    <xdr:to>
      <xdr:col>4</xdr:col>
      <xdr:colOff>485775</xdr:colOff>
      <xdr:row>73</xdr:row>
      <xdr:rowOff>133350</xdr:rowOff>
    </xdr:to>
    <xdr:sp macro="" textlink="">
      <xdr:nvSpPr>
        <xdr:cNvPr id="5679" name="Oval 5">
          <a:extLst>
            <a:ext uri="{FF2B5EF4-FFF2-40B4-BE49-F238E27FC236}">
              <a16:creationId xmlns:a16="http://schemas.microsoft.com/office/drawing/2014/main" id="{81741D40-C989-4EA7-A39B-28D24A7343EE}"/>
            </a:ext>
          </a:extLst>
        </xdr:cNvPr>
        <xdr:cNvSpPr>
          <a:spLocks noChangeArrowheads="1"/>
        </xdr:cNvSpPr>
      </xdr:nvSpPr>
      <xdr:spPr bwMode="auto">
        <a:xfrm>
          <a:off x="2543175" y="14820900"/>
          <a:ext cx="719138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385763</xdr:colOff>
      <xdr:row>22</xdr:row>
      <xdr:rowOff>57150</xdr:rowOff>
    </xdr:from>
    <xdr:to>
      <xdr:col>4</xdr:col>
      <xdr:colOff>466725</xdr:colOff>
      <xdr:row>25</xdr:row>
      <xdr:rowOff>133350</xdr:rowOff>
    </xdr:to>
    <xdr:sp macro="" textlink="">
      <xdr:nvSpPr>
        <xdr:cNvPr id="5680" name="Oval 6">
          <a:extLst>
            <a:ext uri="{FF2B5EF4-FFF2-40B4-BE49-F238E27FC236}">
              <a16:creationId xmlns:a16="http://schemas.microsoft.com/office/drawing/2014/main" id="{003E0C14-E21C-404D-AAA5-856340E4E092}"/>
            </a:ext>
          </a:extLst>
        </xdr:cNvPr>
        <xdr:cNvSpPr>
          <a:spLocks noChangeArrowheads="1"/>
        </xdr:cNvSpPr>
      </xdr:nvSpPr>
      <xdr:spPr bwMode="auto">
        <a:xfrm>
          <a:off x="2514600" y="4819650"/>
          <a:ext cx="728663" cy="704850"/>
        </a:xfrm>
        <a:prstGeom prst="ellipse">
          <a:avLst/>
        </a:prstGeom>
        <a:solidFill>
          <a:srgbClr val="00FF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466725</xdr:colOff>
      <xdr:row>24</xdr:row>
      <xdr:rowOff>123825</xdr:rowOff>
    </xdr:to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30C2774E-D0D5-4202-B165-ECA98B53BE58}"/>
            </a:ext>
          </a:extLst>
        </xdr:cNvPr>
        <xdr:cNvSpPr txBox="1">
          <a:spLocks noChangeArrowheads="1"/>
        </xdr:cNvSpPr>
      </xdr:nvSpPr>
      <xdr:spPr bwMode="auto">
        <a:xfrm>
          <a:off x="2600325" y="4972050"/>
          <a:ext cx="4381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404813</xdr:colOff>
      <xdr:row>34</xdr:row>
      <xdr:rowOff>28575</xdr:rowOff>
    </xdr:from>
    <xdr:to>
      <xdr:col>4</xdr:col>
      <xdr:colOff>485775</xdr:colOff>
      <xdr:row>37</xdr:row>
      <xdr:rowOff>104775</xdr:rowOff>
    </xdr:to>
    <xdr:sp macro="" textlink="">
      <xdr:nvSpPr>
        <xdr:cNvPr id="5682" name="Oval 8">
          <a:extLst>
            <a:ext uri="{FF2B5EF4-FFF2-40B4-BE49-F238E27FC236}">
              <a16:creationId xmlns:a16="http://schemas.microsoft.com/office/drawing/2014/main" id="{2917306F-2BA5-4E55-8F48-49BC3B222D9B}"/>
            </a:ext>
          </a:extLst>
        </xdr:cNvPr>
        <xdr:cNvSpPr>
          <a:spLocks noChangeArrowheads="1"/>
        </xdr:cNvSpPr>
      </xdr:nvSpPr>
      <xdr:spPr bwMode="auto">
        <a:xfrm>
          <a:off x="2533650" y="7305675"/>
          <a:ext cx="728663" cy="704850"/>
        </a:xfrm>
        <a:prstGeom prst="ellipse">
          <a:avLst/>
        </a:prstGeom>
        <a:solidFill>
          <a:srgbClr val="00FF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4</xdr:col>
      <xdr:colOff>19050</xdr:colOff>
      <xdr:row>35</xdr:row>
      <xdr:rowOff>28575</xdr:rowOff>
    </xdr:from>
    <xdr:to>
      <xdr:col>4</xdr:col>
      <xdr:colOff>485775</xdr:colOff>
      <xdr:row>36</xdr:row>
      <xdr:rowOff>152400</xdr:rowOff>
    </xdr:to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EA772BE9-B48D-4588-9CAD-2D64153458FB}"/>
            </a:ext>
          </a:extLst>
        </xdr:cNvPr>
        <xdr:cNvSpPr txBox="1">
          <a:spLocks noChangeArrowheads="1"/>
        </xdr:cNvSpPr>
      </xdr:nvSpPr>
      <xdr:spPr bwMode="auto">
        <a:xfrm>
          <a:off x="2619375" y="7515225"/>
          <a:ext cx="4381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638175</xdr:colOff>
      <xdr:row>46</xdr:row>
      <xdr:rowOff>133350</xdr:rowOff>
    </xdr:from>
    <xdr:to>
      <xdr:col>4</xdr:col>
      <xdr:colOff>457131</xdr:colOff>
      <xdr:row>48</xdr:row>
      <xdr:rowOff>85725</xdr:rowOff>
    </xdr:to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5DC5F0E6-2699-48C7-9ECD-BA3BACC185E9}"/>
            </a:ext>
          </a:extLst>
        </xdr:cNvPr>
        <xdr:cNvSpPr txBox="1">
          <a:spLocks noChangeArrowheads="1"/>
        </xdr:cNvSpPr>
      </xdr:nvSpPr>
      <xdr:spPr bwMode="auto">
        <a:xfrm>
          <a:off x="2590800" y="9925050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4</xdr:col>
      <xdr:colOff>19050</xdr:colOff>
      <xdr:row>58</xdr:row>
      <xdr:rowOff>142875</xdr:rowOff>
    </xdr:from>
    <xdr:to>
      <xdr:col>4</xdr:col>
      <xdr:colOff>485775</xdr:colOff>
      <xdr:row>60</xdr:row>
      <xdr:rowOff>95250</xdr:rowOff>
    </xdr:to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FC79B828-A4C5-4B36-A67A-6F9C7A4A007B}"/>
            </a:ext>
          </a:extLst>
        </xdr:cNvPr>
        <xdr:cNvSpPr txBox="1">
          <a:spLocks noChangeArrowheads="1"/>
        </xdr:cNvSpPr>
      </xdr:nvSpPr>
      <xdr:spPr bwMode="auto">
        <a:xfrm>
          <a:off x="2619375" y="1244917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414338</xdr:colOff>
      <xdr:row>82</xdr:row>
      <xdr:rowOff>0</xdr:rowOff>
    </xdr:from>
    <xdr:to>
      <xdr:col>4</xdr:col>
      <xdr:colOff>485775</xdr:colOff>
      <xdr:row>85</xdr:row>
      <xdr:rowOff>133350</xdr:rowOff>
    </xdr:to>
    <xdr:sp macro="" textlink="">
      <xdr:nvSpPr>
        <xdr:cNvPr id="5686" name="Oval 12">
          <a:extLst>
            <a:ext uri="{FF2B5EF4-FFF2-40B4-BE49-F238E27FC236}">
              <a16:creationId xmlns:a16="http://schemas.microsoft.com/office/drawing/2014/main" id="{40BBC5C9-EA9D-4119-A8C3-236A7AA3BBB0}"/>
            </a:ext>
          </a:extLst>
        </xdr:cNvPr>
        <xdr:cNvSpPr>
          <a:spLocks noChangeArrowheads="1"/>
        </xdr:cNvSpPr>
      </xdr:nvSpPr>
      <xdr:spPr bwMode="auto">
        <a:xfrm>
          <a:off x="2543175" y="17335500"/>
          <a:ext cx="719138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414338</xdr:colOff>
      <xdr:row>94</xdr:row>
      <xdr:rowOff>0</xdr:rowOff>
    </xdr:from>
    <xdr:to>
      <xdr:col>4</xdr:col>
      <xdr:colOff>485775</xdr:colOff>
      <xdr:row>97</xdr:row>
      <xdr:rowOff>133350</xdr:rowOff>
    </xdr:to>
    <xdr:sp macro="" textlink="">
      <xdr:nvSpPr>
        <xdr:cNvPr id="5687" name="Oval 13">
          <a:extLst>
            <a:ext uri="{FF2B5EF4-FFF2-40B4-BE49-F238E27FC236}">
              <a16:creationId xmlns:a16="http://schemas.microsoft.com/office/drawing/2014/main" id="{FD4E99A3-D2E1-462F-9117-491DFB3E8B24}"/>
            </a:ext>
          </a:extLst>
        </xdr:cNvPr>
        <xdr:cNvSpPr>
          <a:spLocks noChangeArrowheads="1"/>
        </xdr:cNvSpPr>
      </xdr:nvSpPr>
      <xdr:spPr bwMode="auto">
        <a:xfrm>
          <a:off x="2543175" y="19850100"/>
          <a:ext cx="719138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414338</xdr:colOff>
      <xdr:row>106</xdr:row>
      <xdr:rowOff>0</xdr:rowOff>
    </xdr:from>
    <xdr:to>
      <xdr:col>4</xdr:col>
      <xdr:colOff>485775</xdr:colOff>
      <xdr:row>109</xdr:row>
      <xdr:rowOff>133350</xdr:rowOff>
    </xdr:to>
    <xdr:sp macro="" textlink="">
      <xdr:nvSpPr>
        <xdr:cNvPr id="5688" name="Oval 14">
          <a:extLst>
            <a:ext uri="{FF2B5EF4-FFF2-40B4-BE49-F238E27FC236}">
              <a16:creationId xmlns:a16="http://schemas.microsoft.com/office/drawing/2014/main" id="{F4ECAD3B-03FD-48C2-A2DB-32BD0CF46712}"/>
            </a:ext>
          </a:extLst>
        </xdr:cNvPr>
        <xdr:cNvSpPr>
          <a:spLocks noChangeArrowheads="1"/>
        </xdr:cNvSpPr>
      </xdr:nvSpPr>
      <xdr:spPr bwMode="auto">
        <a:xfrm>
          <a:off x="2543175" y="22364700"/>
          <a:ext cx="719138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414338</xdr:colOff>
      <xdr:row>118</xdr:row>
      <xdr:rowOff>0</xdr:rowOff>
    </xdr:from>
    <xdr:to>
      <xdr:col>4</xdr:col>
      <xdr:colOff>485775</xdr:colOff>
      <xdr:row>121</xdr:row>
      <xdr:rowOff>133350</xdr:rowOff>
    </xdr:to>
    <xdr:sp macro="" textlink="">
      <xdr:nvSpPr>
        <xdr:cNvPr id="5689" name="Oval 15">
          <a:extLst>
            <a:ext uri="{FF2B5EF4-FFF2-40B4-BE49-F238E27FC236}">
              <a16:creationId xmlns:a16="http://schemas.microsoft.com/office/drawing/2014/main" id="{17E96B4B-79C9-4AD6-A6E3-11D5C63FF313}"/>
            </a:ext>
          </a:extLst>
        </xdr:cNvPr>
        <xdr:cNvSpPr>
          <a:spLocks noChangeArrowheads="1"/>
        </xdr:cNvSpPr>
      </xdr:nvSpPr>
      <xdr:spPr bwMode="auto">
        <a:xfrm>
          <a:off x="2543175" y="24879300"/>
          <a:ext cx="719138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31</xdr:col>
      <xdr:colOff>0</xdr:colOff>
      <xdr:row>36</xdr:row>
      <xdr:rowOff>19050</xdr:rowOff>
    </xdr:from>
    <xdr:to>
      <xdr:col>31</xdr:col>
      <xdr:colOff>0</xdr:colOff>
      <xdr:row>71</xdr:row>
      <xdr:rowOff>190500</xdr:rowOff>
    </xdr:to>
    <xdr:sp macro="" textlink="">
      <xdr:nvSpPr>
        <xdr:cNvPr id="5690" name="Line 16">
          <a:extLst>
            <a:ext uri="{FF2B5EF4-FFF2-40B4-BE49-F238E27FC236}">
              <a16:creationId xmlns:a16="http://schemas.microsoft.com/office/drawing/2014/main" id="{39CD9DE3-A2EE-47AD-B878-D3A1DB1A129A}"/>
            </a:ext>
          </a:extLst>
        </xdr:cNvPr>
        <xdr:cNvSpPr>
          <a:spLocks noChangeShapeType="1"/>
        </xdr:cNvSpPr>
      </xdr:nvSpPr>
      <xdr:spPr bwMode="auto">
        <a:xfrm>
          <a:off x="21564600" y="7715250"/>
          <a:ext cx="0" cy="7505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</xdr:colOff>
      <xdr:row>12</xdr:row>
      <xdr:rowOff>19050</xdr:rowOff>
    </xdr:from>
    <xdr:to>
      <xdr:col>16</xdr:col>
      <xdr:colOff>123825</xdr:colOff>
      <xdr:row>23</xdr:row>
      <xdr:rowOff>171450</xdr:rowOff>
    </xdr:to>
    <xdr:sp macro="" textlink="">
      <xdr:nvSpPr>
        <xdr:cNvPr id="5691" name="Line 17">
          <a:extLst>
            <a:ext uri="{FF2B5EF4-FFF2-40B4-BE49-F238E27FC236}">
              <a16:creationId xmlns:a16="http://schemas.microsoft.com/office/drawing/2014/main" id="{C06BA7E2-414F-4308-B2EB-B3C07F1CAB5E}"/>
            </a:ext>
          </a:extLst>
        </xdr:cNvPr>
        <xdr:cNvSpPr>
          <a:spLocks noChangeShapeType="1"/>
        </xdr:cNvSpPr>
      </xdr:nvSpPr>
      <xdr:spPr bwMode="auto">
        <a:xfrm>
          <a:off x="11058525" y="2686050"/>
          <a:ext cx="0" cy="24574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628650</xdr:colOff>
      <xdr:row>23</xdr:row>
      <xdr:rowOff>190500</xdr:rowOff>
    </xdr:from>
    <xdr:to>
      <xdr:col>37</xdr:col>
      <xdr:colOff>447675</xdr:colOff>
      <xdr:row>23</xdr:row>
      <xdr:rowOff>190500</xdr:rowOff>
    </xdr:to>
    <xdr:sp macro="" textlink="">
      <xdr:nvSpPr>
        <xdr:cNvPr id="5692" name="Line 18">
          <a:extLst>
            <a:ext uri="{FF2B5EF4-FFF2-40B4-BE49-F238E27FC236}">
              <a16:creationId xmlns:a16="http://schemas.microsoft.com/office/drawing/2014/main" id="{14EB98C3-B061-4A10-BA91-1D6619E5258E}"/>
            </a:ext>
          </a:extLst>
        </xdr:cNvPr>
        <xdr:cNvSpPr>
          <a:spLocks noChangeShapeType="1"/>
        </xdr:cNvSpPr>
      </xdr:nvSpPr>
      <xdr:spPr bwMode="auto">
        <a:xfrm>
          <a:off x="23502938" y="5162550"/>
          <a:ext cx="2424112" cy="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242888</xdr:colOff>
      <xdr:row>3</xdr:row>
      <xdr:rowOff>152400</xdr:rowOff>
    </xdr:from>
    <xdr:to>
      <xdr:col>36</xdr:col>
      <xdr:colOff>252413</xdr:colOff>
      <xdr:row>15</xdr:row>
      <xdr:rowOff>190500</xdr:rowOff>
    </xdr:to>
    <xdr:sp macro="" textlink="">
      <xdr:nvSpPr>
        <xdr:cNvPr id="5693" name="Oval 19">
          <a:extLst>
            <a:ext uri="{FF2B5EF4-FFF2-40B4-BE49-F238E27FC236}">
              <a16:creationId xmlns:a16="http://schemas.microsoft.com/office/drawing/2014/main" id="{6A37C60F-EB21-4A8A-BB3B-FF6419851A42}"/>
            </a:ext>
          </a:extLst>
        </xdr:cNvPr>
        <xdr:cNvSpPr>
          <a:spLocks noChangeArrowheads="1"/>
        </xdr:cNvSpPr>
      </xdr:nvSpPr>
      <xdr:spPr bwMode="auto">
        <a:xfrm>
          <a:off x="11177588" y="933450"/>
          <a:ext cx="13906500" cy="2552700"/>
        </a:xfrm>
        <a:prstGeom prst="ellipse">
          <a:avLst/>
        </a:prstGeom>
        <a:solidFill>
          <a:srgbClr val="DDDDDD">
            <a:alpha val="58038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714375</xdr:colOff>
      <xdr:row>44</xdr:row>
      <xdr:rowOff>133350</xdr:rowOff>
    </xdr:from>
    <xdr:to>
      <xdr:col>20</xdr:col>
      <xdr:colOff>161925</xdr:colOff>
      <xdr:row>50</xdr:row>
      <xdr:rowOff>114300</xdr:rowOff>
    </xdr:to>
    <xdr:sp macro="" textlink="">
      <xdr:nvSpPr>
        <xdr:cNvPr id="5694" name="Oval 20">
          <a:extLst>
            <a:ext uri="{FF2B5EF4-FFF2-40B4-BE49-F238E27FC236}">
              <a16:creationId xmlns:a16="http://schemas.microsoft.com/office/drawing/2014/main" id="{89ADE6CA-6289-488E-9898-A2A5CFD5782B}"/>
            </a:ext>
          </a:extLst>
        </xdr:cNvPr>
        <xdr:cNvSpPr>
          <a:spLocks noChangeArrowheads="1"/>
        </xdr:cNvSpPr>
      </xdr:nvSpPr>
      <xdr:spPr bwMode="auto">
        <a:xfrm>
          <a:off x="11649075" y="9505950"/>
          <a:ext cx="2290763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714375</xdr:colOff>
      <xdr:row>20</xdr:row>
      <xdr:rowOff>190500</xdr:rowOff>
    </xdr:from>
    <xdr:to>
      <xdr:col>20</xdr:col>
      <xdr:colOff>161925</xdr:colOff>
      <xdr:row>26</xdr:row>
      <xdr:rowOff>171450</xdr:rowOff>
    </xdr:to>
    <xdr:sp macro="" textlink="">
      <xdr:nvSpPr>
        <xdr:cNvPr id="5695" name="Oval 21">
          <a:extLst>
            <a:ext uri="{FF2B5EF4-FFF2-40B4-BE49-F238E27FC236}">
              <a16:creationId xmlns:a16="http://schemas.microsoft.com/office/drawing/2014/main" id="{15F0BE27-9D76-4D6E-BE09-2FC98DCFC636}"/>
            </a:ext>
          </a:extLst>
        </xdr:cNvPr>
        <xdr:cNvSpPr>
          <a:spLocks noChangeArrowheads="1"/>
        </xdr:cNvSpPr>
      </xdr:nvSpPr>
      <xdr:spPr bwMode="auto">
        <a:xfrm>
          <a:off x="11649075" y="4533900"/>
          <a:ext cx="2290763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714375</xdr:colOff>
      <xdr:row>33</xdr:row>
      <xdr:rowOff>0</xdr:rowOff>
    </xdr:from>
    <xdr:to>
      <xdr:col>20</xdr:col>
      <xdr:colOff>161925</xdr:colOff>
      <xdr:row>38</xdr:row>
      <xdr:rowOff>190500</xdr:rowOff>
    </xdr:to>
    <xdr:sp macro="" textlink="">
      <xdr:nvSpPr>
        <xdr:cNvPr id="5696" name="Oval 22">
          <a:extLst>
            <a:ext uri="{FF2B5EF4-FFF2-40B4-BE49-F238E27FC236}">
              <a16:creationId xmlns:a16="http://schemas.microsoft.com/office/drawing/2014/main" id="{DFC65ED5-C101-414B-95CB-CE194DB8631A}"/>
            </a:ext>
          </a:extLst>
        </xdr:cNvPr>
        <xdr:cNvSpPr>
          <a:spLocks noChangeArrowheads="1"/>
        </xdr:cNvSpPr>
      </xdr:nvSpPr>
      <xdr:spPr bwMode="auto">
        <a:xfrm>
          <a:off x="11649075" y="7067550"/>
          <a:ext cx="2290763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671513</xdr:colOff>
      <xdr:row>69</xdr:row>
      <xdr:rowOff>0</xdr:rowOff>
    </xdr:from>
    <xdr:to>
      <xdr:col>20</xdr:col>
      <xdr:colOff>123825</xdr:colOff>
      <xdr:row>74</xdr:row>
      <xdr:rowOff>190500</xdr:rowOff>
    </xdr:to>
    <xdr:sp macro="" textlink="">
      <xdr:nvSpPr>
        <xdr:cNvPr id="5697" name="Oval 23">
          <a:extLst>
            <a:ext uri="{FF2B5EF4-FFF2-40B4-BE49-F238E27FC236}">
              <a16:creationId xmlns:a16="http://schemas.microsoft.com/office/drawing/2014/main" id="{0CCE2FDA-8FDA-4276-BDD3-59C04667F516}"/>
            </a:ext>
          </a:extLst>
        </xdr:cNvPr>
        <xdr:cNvSpPr>
          <a:spLocks noChangeArrowheads="1"/>
        </xdr:cNvSpPr>
      </xdr:nvSpPr>
      <xdr:spPr bwMode="auto">
        <a:xfrm>
          <a:off x="11606213" y="14611350"/>
          <a:ext cx="2295525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571500</xdr:colOff>
      <xdr:row>57</xdr:row>
      <xdr:rowOff>19050</xdr:rowOff>
    </xdr:from>
    <xdr:to>
      <xdr:col>25</xdr:col>
      <xdr:colOff>104775</xdr:colOff>
      <xdr:row>63</xdr:row>
      <xdr:rowOff>0</xdr:rowOff>
    </xdr:to>
    <xdr:sp macro="" textlink="">
      <xdr:nvSpPr>
        <xdr:cNvPr id="5698" name="Oval 24">
          <a:extLst>
            <a:ext uri="{FF2B5EF4-FFF2-40B4-BE49-F238E27FC236}">
              <a16:creationId xmlns:a16="http://schemas.microsoft.com/office/drawing/2014/main" id="{5A2CC624-2C15-48B0-B501-4B5E3B101459}"/>
            </a:ext>
          </a:extLst>
        </xdr:cNvPr>
        <xdr:cNvSpPr>
          <a:spLocks noChangeArrowheads="1"/>
        </xdr:cNvSpPr>
      </xdr:nvSpPr>
      <xdr:spPr bwMode="auto">
        <a:xfrm>
          <a:off x="15035213" y="12115800"/>
          <a:ext cx="2476500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509588</xdr:colOff>
      <xdr:row>57</xdr:row>
      <xdr:rowOff>0</xdr:rowOff>
    </xdr:from>
    <xdr:to>
      <xdr:col>35</xdr:col>
      <xdr:colOff>185738</xdr:colOff>
      <xdr:row>62</xdr:row>
      <xdr:rowOff>190500</xdr:rowOff>
    </xdr:to>
    <xdr:sp macro="" textlink="">
      <xdr:nvSpPr>
        <xdr:cNvPr id="5699" name="Oval 25">
          <a:extLst>
            <a:ext uri="{FF2B5EF4-FFF2-40B4-BE49-F238E27FC236}">
              <a16:creationId xmlns:a16="http://schemas.microsoft.com/office/drawing/2014/main" id="{96DFAE66-3B14-45C7-A6CF-658363321639}"/>
            </a:ext>
          </a:extLst>
        </xdr:cNvPr>
        <xdr:cNvSpPr>
          <a:spLocks noChangeArrowheads="1"/>
        </xdr:cNvSpPr>
      </xdr:nvSpPr>
      <xdr:spPr bwMode="auto">
        <a:xfrm>
          <a:off x="22074188" y="12096750"/>
          <a:ext cx="2281237" cy="1238250"/>
        </a:xfrm>
        <a:prstGeom prst="ellipse">
          <a:avLst/>
        </a:prstGeom>
        <a:solidFill>
          <a:srgbClr val="33CC33">
            <a:alpha val="30196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552450</xdr:colOff>
      <xdr:row>21</xdr:row>
      <xdr:rowOff>0</xdr:rowOff>
    </xdr:from>
    <xdr:to>
      <xdr:col>30</xdr:col>
      <xdr:colOff>133350</xdr:colOff>
      <xdr:row>26</xdr:row>
      <xdr:rowOff>190500</xdr:rowOff>
    </xdr:to>
    <xdr:sp macro="" textlink="">
      <xdr:nvSpPr>
        <xdr:cNvPr id="5700" name="Oval 26">
          <a:extLst>
            <a:ext uri="{FF2B5EF4-FFF2-40B4-BE49-F238E27FC236}">
              <a16:creationId xmlns:a16="http://schemas.microsoft.com/office/drawing/2014/main" id="{3D4894FC-7552-4D65-8D39-B45388C42670}"/>
            </a:ext>
          </a:extLst>
        </xdr:cNvPr>
        <xdr:cNvSpPr>
          <a:spLocks noChangeArrowheads="1"/>
        </xdr:cNvSpPr>
      </xdr:nvSpPr>
      <xdr:spPr bwMode="auto">
        <a:xfrm>
          <a:off x="18654713" y="4552950"/>
          <a:ext cx="2357437" cy="1238250"/>
        </a:xfrm>
        <a:prstGeom prst="ellipse">
          <a:avLst/>
        </a:prstGeom>
        <a:solidFill>
          <a:srgbClr val="33CC33">
            <a:alpha val="30196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161925</xdr:colOff>
      <xdr:row>0</xdr:row>
      <xdr:rowOff>100013</xdr:rowOff>
    </xdr:from>
    <xdr:to>
      <xdr:col>49</xdr:col>
      <xdr:colOff>528638</xdr:colOff>
      <xdr:row>29</xdr:row>
      <xdr:rowOff>0</xdr:rowOff>
    </xdr:to>
    <xdr:pic>
      <xdr:nvPicPr>
        <xdr:cNvPr id="3385" name="Picture 1">
          <a:extLst>
            <a:ext uri="{FF2B5EF4-FFF2-40B4-BE49-F238E27FC236}">
              <a16:creationId xmlns:a16="http://schemas.microsoft.com/office/drawing/2014/main" id="{EE58B7E0-C60F-41EC-9D0A-AAA7EDFDB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710"/>
        <a:stretch>
          <a:fillRect/>
        </a:stretch>
      </xdr:blipFill>
      <xdr:spPr bwMode="auto">
        <a:xfrm>
          <a:off x="21621750" y="100013"/>
          <a:ext cx="4252913" cy="765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481013</xdr:colOff>
      <xdr:row>18</xdr:row>
      <xdr:rowOff>0</xdr:rowOff>
    </xdr:to>
    <xdr:sp macro="" textlink="">
      <xdr:nvSpPr>
        <xdr:cNvPr id="3386" name="Line 2">
          <a:extLst>
            <a:ext uri="{FF2B5EF4-FFF2-40B4-BE49-F238E27FC236}">
              <a16:creationId xmlns:a16="http://schemas.microsoft.com/office/drawing/2014/main" id="{1D4F9DE8-9795-45A0-9C90-471B7F610AC5}"/>
            </a:ext>
          </a:extLst>
        </xdr:cNvPr>
        <xdr:cNvSpPr>
          <a:spLocks noChangeShapeType="1"/>
        </xdr:cNvSpPr>
      </xdr:nvSpPr>
      <xdr:spPr bwMode="auto">
        <a:xfrm flipH="1">
          <a:off x="4538663" y="5738813"/>
          <a:ext cx="481012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18</xdr:row>
      <xdr:rowOff>0</xdr:rowOff>
    </xdr:from>
    <xdr:to>
      <xdr:col>8</xdr:col>
      <xdr:colOff>0</xdr:colOff>
      <xdr:row>26</xdr:row>
      <xdr:rowOff>28575</xdr:rowOff>
    </xdr:to>
    <xdr:sp macro="" textlink="">
      <xdr:nvSpPr>
        <xdr:cNvPr id="3387" name="Line 3">
          <a:extLst>
            <a:ext uri="{FF2B5EF4-FFF2-40B4-BE49-F238E27FC236}">
              <a16:creationId xmlns:a16="http://schemas.microsoft.com/office/drawing/2014/main" id="{F68DCEC0-4490-4587-86FE-AB49D8E65A04}"/>
            </a:ext>
          </a:extLst>
        </xdr:cNvPr>
        <xdr:cNvSpPr>
          <a:spLocks noChangeShapeType="1"/>
        </xdr:cNvSpPr>
      </xdr:nvSpPr>
      <xdr:spPr bwMode="auto">
        <a:xfrm>
          <a:off x="4538663" y="5738813"/>
          <a:ext cx="0" cy="1533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36</xdr:col>
      <xdr:colOff>261938</xdr:colOff>
      <xdr:row>17</xdr:row>
      <xdr:rowOff>152400</xdr:rowOff>
    </xdr:from>
    <xdr:to>
      <xdr:col>43</xdr:col>
      <xdr:colOff>123825</xdr:colOff>
      <xdr:row>29</xdr:row>
      <xdr:rowOff>76200</xdr:rowOff>
    </xdr:to>
    <xdr:pic>
      <xdr:nvPicPr>
        <xdr:cNvPr id="3388" name="Picture 4">
          <a:extLst>
            <a:ext uri="{FF2B5EF4-FFF2-40B4-BE49-F238E27FC236}">
              <a16:creationId xmlns:a16="http://schemas.microsoft.com/office/drawing/2014/main" id="{BA92E6F1-200D-4C95-AB70-E031B361C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803" b="-4716"/>
        <a:stretch>
          <a:fillRect/>
        </a:stretch>
      </xdr:blipFill>
      <xdr:spPr bwMode="auto">
        <a:xfrm>
          <a:off x="17187863" y="5719763"/>
          <a:ext cx="4395787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nw\reaccess\A_REACCESS_2nd_Year\IJESM\Global_NUC_RES_and_DB%20(NEA)(26.04.201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nw\reaccess\A_REACCESS_2nd_Year\IJESM\Global_NUC_RES_and_DB%20(NEA)(21.04.201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ridors%20(e.l._6.05.2010_all%20commodities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ACCESS\A_REACCESS_3rd_Year\IJESM\Global_NUC_RES_and_DB%20(NEA)(21.04.201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 graph (1 kgU)"/>
      <sheetName val="chain graph"/>
      <sheetName val="chain graph_full"/>
      <sheetName val="EU-NUC-RES (for print)"/>
      <sheetName val="Mine coordinates"/>
      <sheetName val="DEF"/>
      <sheetName val="Glossary"/>
      <sheetName val="COUNTRIES"/>
      <sheetName val="LHV"/>
      <sheetName val="risks"/>
      <sheetName val="externalities"/>
      <sheetName val="availability"/>
      <sheetName val="Conversion Table"/>
      <sheetName val="destinations"/>
      <sheetName val="resources"/>
      <sheetName val="primary production"/>
      <sheetName val="secondary production"/>
      <sheetName val="tertiary production"/>
      <sheetName val="corridors"/>
      <sheetName val="Transportation"/>
      <sheetName val="AUS (da US to 2050)"/>
      <sheetName val="AUSTRALIA doc"/>
      <sheetName val="AUSTRALIA URANIUM"/>
      <sheetName val="AUSTRALIA"/>
      <sheetName val="CANADA-UK"/>
      <sheetName val="CANADA"/>
      <sheetName val="CANADA (2)"/>
      <sheetName val="CANADA doc"/>
      <sheetName val="KAZAKHSTAN"/>
      <sheetName val="NAMIBIA (Res)"/>
      <sheetName val="NAMIBIA doc"/>
      <sheetName val="NAMIBIA (3)"/>
      <sheetName val="NAMIBIA"/>
      <sheetName val="namibia (4)"/>
      <sheetName val="Niger mines"/>
      <sheetName val="NIGER (Arlit geo)"/>
      <sheetName val="NIGER (Transport)"/>
      <sheetName val="NIGER (Res)"/>
      <sheetName val="SOUTH AFRICA"/>
      <sheetName val="UZBEKISTAN"/>
      <sheetName val="EUROPE"/>
      <sheetName val="World U mining"/>
      <sheetName val="U Resources (1)"/>
      <sheetName val="Uranium Resources"/>
      <sheetName val="ISL"/>
      <sheetName val="Mining Techniques (1)"/>
      <sheetName val="World Balance"/>
      <sheetName val="RAR"/>
      <sheetName val="Resources &amp; Production (2)(U3O8"/>
      <sheetName val="Resources &amp; Production (2)(tU)"/>
      <sheetName val="Resources &amp; Production (1)"/>
      <sheetName val="Fuel schemes and costs"/>
      <sheetName val="Costs"/>
      <sheetName val="Conversion"/>
      <sheetName val="TRADE"/>
      <sheetName val="U Transport"/>
      <sheetName val="Enrichment 2"/>
      <sheetName val="Enrichment"/>
      <sheetName val="Up-Stream Plants"/>
      <sheetName val="LWR FF (2)"/>
      <sheetName val="chain graph (2)"/>
      <sheetName val="LWR Fuel Fabrication"/>
      <sheetName val="HR Fuel Fabrication"/>
      <sheetName val="HWR Fuel Fabrication"/>
      <sheetName val="Economics"/>
      <sheetName val="Urenco"/>
      <sheetName val="Belgium"/>
      <sheetName val="Bulgaria"/>
      <sheetName val="Czech R."/>
      <sheetName val="Finland"/>
      <sheetName val="France"/>
      <sheetName val="Germany"/>
      <sheetName val="Hungary"/>
      <sheetName val="Lithuania"/>
      <sheetName val="Romania"/>
      <sheetName val="Slovakia"/>
      <sheetName val="Slovenia"/>
      <sheetName val="Spain"/>
      <sheetName val="Sweden"/>
      <sheetName val="Switzerland"/>
      <sheetName val="The Netherlands"/>
      <sheetName val="United Kingdom"/>
      <sheetName val="Nukem"/>
      <sheetName val="RES (SK)"/>
      <sheetName val="AREVA-mines"/>
      <sheetName val="EU-NUC-RES"/>
      <sheetName val="Costs (2)"/>
      <sheetName val="2088 World Budget"/>
      <sheetName val="N-RES in US MARKAL"/>
      <sheetName val="U requirements"/>
      <sheetName val="Nuclear Cycle (2)"/>
      <sheetName val="1000MW material cycle"/>
      <sheetName val="EU45LWR95"/>
      <sheetName val="EU45LWR05"/>
      <sheetName val="EU45LWR10"/>
      <sheetName val="Nuclear Materials&amp;Parameters"/>
      <sheetName val="Materials"/>
      <sheetName val="NRES (EL2)"/>
      <sheetName val="NRES (EL)"/>
      <sheetName val="PNURNU45 (enrichment)"/>
      <sheetName val="PPUMOX"/>
      <sheetName val="MOX"/>
      <sheetName val="PNURNU19"/>
      <sheetName val="EU19GTMHR"/>
      <sheetName val="PU19SPT"/>
      <sheetName val="PH2MHR"/>
      <sheetName val="PNURNU09"/>
      <sheetName val="EU09PBMR"/>
      <sheetName val="PH2PBMR"/>
      <sheetName val="PI09SPT"/>
      <sheetName val="PH2PBMR old"/>
      <sheetName val="PUREX"/>
      <sheetName val="PWST"/>
      <sheetName val="PMOXWST"/>
      <sheetName val="PMOXSPT"/>
      <sheetName val=".....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11">
          <cell r="W11">
            <v>10.652510399999999</v>
          </cell>
          <cell r="X11">
            <v>51.662099999999995</v>
          </cell>
          <cell r="Y11">
            <v>71.152224000000004</v>
          </cell>
          <cell r="Z11">
            <v>124.17107279999999</v>
          </cell>
          <cell r="AA11">
            <v>627.0760151999998</v>
          </cell>
        </row>
        <row r="163">
          <cell r="AH163">
            <v>8.6958768000000006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 graph (1 kgU)"/>
      <sheetName val="chain graph"/>
      <sheetName val="chain graph_full"/>
      <sheetName val="EU-NUC-RES (for print)"/>
      <sheetName val="Mine coordinates"/>
      <sheetName val="DEF"/>
      <sheetName val="Glossary"/>
      <sheetName val="COUNTRIES"/>
      <sheetName val="LHV"/>
      <sheetName val="risks"/>
      <sheetName val="externalities"/>
      <sheetName val="availability"/>
      <sheetName val="Conversion Table"/>
      <sheetName val="destinations"/>
      <sheetName val="resources"/>
      <sheetName val="primary production"/>
      <sheetName val="secondary production"/>
      <sheetName val="tertiary production"/>
      <sheetName val="corridors"/>
      <sheetName val="Transportation"/>
      <sheetName val="AUS (da US to 2050)"/>
      <sheetName val="AUSTRALIA doc"/>
      <sheetName val="AUSTRALIA URANIUM"/>
      <sheetName val="AUSTRALIA"/>
      <sheetName val="CANADA-UK"/>
      <sheetName val="CANADA"/>
      <sheetName val="CANADA (2)"/>
      <sheetName val="CANADA doc"/>
      <sheetName val="KAZAKHSTAN"/>
      <sheetName val="NAMIBIA (Res)"/>
      <sheetName val="NAMIBIA doc"/>
      <sheetName val="NAMIBIA (3)"/>
      <sheetName val="NAMIBIA"/>
      <sheetName val="namibia (4)"/>
      <sheetName val="Niger mines"/>
      <sheetName val="NIGER (Arlit geo)"/>
      <sheetName val="NIGER (Transport)"/>
      <sheetName val="NIGER (Res)"/>
      <sheetName val="SOUTH AFRICA"/>
      <sheetName val="UZBEKISTAN"/>
      <sheetName val="EUROPE"/>
      <sheetName val="World U mining"/>
      <sheetName val="U Resources (1)"/>
      <sheetName val="Uranium Resources"/>
      <sheetName val="ISL"/>
      <sheetName val="Mining Techniques (1)"/>
      <sheetName val="World Balance"/>
      <sheetName val="RAR"/>
      <sheetName val="Resources &amp; Production (2)(U3O8"/>
      <sheetName val="Resources &amp; Production (2)(tU)"/>
      <sheetName val="Resources &amp; Production (1)"/>
      <sheetName val="Fuel schemes and costs"/>
      <sheetName val="Costs"/>
      <sheetName val="Conversion"/>
      <sheetName val="TRADE"/>
      <sheetName val="U Transport"/>
      <sheetName val="Enrichment 2"/>
      <sheetName val="Enrichment"/>
      <sheetName val="Up-Stream Plants"/>
      <sheetName val="LWR FF (2)"/>
      <sheetName val="chain graph (2)"/>
      <sheetName val="LWR Fuel Fabrication"/>
      <sheetName val="HR Fuel Fabrication"/>
      <sheetName val="HWR Fuel Fabrication"/>
      <sheetName val="Economics"/>
      <sheetName val="Urenco"/>
      <sheetName val="Belgium"/>
      <sheetName val="Bulgaria"/>
      <sheetName val="Czech R."/>
      <sheetName val="Finland"/>
      <sheetName val="France"/>
      <sheetName val="Germany"/>
      <sheetName val="Hungary"/>
      <sheetName val="Lithuania"/>
      <sheetName val="Romania"/>
      <sheetName val="Slovakia"/>
      <sheetName val="Slovenia"/>
      <sheetName val="Spain"/>
      <sheetName val="Sweden"/>
      <sheetName val="Switzerland"/>
      <sheetName val="The Netherlands"/>
      <sheetName val="United Kingdom"/>
      <sheetName val="Nukem"/>
      <sheetName val="RES (SK)"/>
      <sheetName val="AREVA-mines"/>
      <sheetName val="EU-NUC-RES"/>
      <sheetName val="Costs (2)"/>
      <sheetName val="2088 World Budget"/>
      <sheetName val="N-RES in US MARKAL"/>
      <sheetName val="U requirements"/>
      <sheetName val="Nuclear Cycle (2)"/>
      <sheetName val="1000MW material cycle"/>
      <sheetName val="EU45LWR95"/>
      <sheetName val="EU45LWR05"/>
      <sheetName val="EU45LWR10"/>
      <sheetName val="Nuclear Materials&amp;Parameters"/>
      <sheetName val="Materials"/>
      <sheetName val="NRES (EL2)"/>
      <sheetName val="NRES (EL)"/>
      <sheetName val="PNURNU45 (enrichment)"/>
      <sheetName val="PPUMOX"/>
      <sheetName val="MOX"/>
      <sheetName val="PNURNU19"/>
      <sheetName val="EU19GTMHR"/>
      <sheetName val="PU19SPT"/>
      <sheetName val="PH2MHR"/>
      <sheetName val="PNURNU09"/>
      <sheetName val="EU09PBMR"/>
      <sheetName val="PH2PBMR"/>
      <sheetName val="PI09SPT"/>
      <sheetName val="PH2PBMR old"/>
      <sheetName val="PUREX"/>
      <sheetName val="PWST"/>
      <sheetName val="PMOXWST"/>
      <sheetName val="PMOXSPT"/>
      <sheetName val="......"/>
    </sheetNames>
    <sheetDataSet>
      <sheetData sheetId="0" refreshError="1"/>
      <sheetData sheetId="1" refreshError="1"/>
      <sheetData sheetId="2" refreshError="1"/>
      <sheetData sheetId="3" refreshError="1">
        <row r="9">
          <cell r="Y9">
            <v>226.20674399999999</v>
          </cell>
          <cell r="Z9">
            <v>342.21449142857142</v>
          </cell>
          <cell r="AA9">
            <v>1684</v>
          </cell>
        </row>
        <row r="12">
          <cell r="Y12">
            <v>11054</v>
          </cell>
          <cell r="Z12">
            <v>17350</v>
          </cell>
          <cell r="AA12">
            <v>95649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 Production COAL"/>
      <sheetName val="Resources COAL"/>
      <sheetName val="destinations COAL (MB)"/>
      <sheetName val="corridors COAL"/>
      <sheetName val="COAL EUROSTAT"/>
      <sheetName val="COAL to EU"/>
      <sheetName val="COAL Matrix"/>
      <sheetName val="COAL DATA"/>
      <sheetName val="COAL"/>
      <sheetName val="REF_SHP"/>
      <sheetName val="Country names"/>
      <sheetName val="Definitions"/>
      <sheetName val="OIL_SHP"/>
      <sheetName val="OIL_PIP and OIL_RAIL"/>
      <sheetName val="HC_SHP"/>
      <sheetName val="NUC corridors"/>
      <sheetName val="NUC primary production"/>
      <sheetName val="NUC resources"/>
      <sheetName val="NUC chain (full)"/>
      <sheetName val="NUC to EU"/>
      <sheetName val="NUC"/>
      <sheetName val="HYD"/>
      <sheetName val="ELC to EU"/>
      <sheetName val="ELC destination"/>
      <sheetName val="ELC_LIN"/>
      <sheetName val="LNG_SHP"/>
      <sheetName val="LNG to EU"/>
      <sheetName val="LNG from AFR"/>
      <sheetName val="LNG from MEA&amp;Asia"/>
      <sheetName val="LNG from T&amp;T, AUS"/>
      <sheetName val="Budget BP and EUROSTAT"/>
      <sheetName val="NG_PIP"/>
      <sheetName val="NG From AFR (EUR ok)(bcm)"/>
      <sheetName val="NG from Russia (EUR ok) (bcm)"/>
      <sheetName val="NG_CORR_AFR (RG)"/>
      <sheetName val="NG From AFR"/>
      <sheetName val="NG_CORR_CAC (RG)"/>
      <sheetName val="NG From CAC"/>
      <sheetName val="NG from North Sea"/>
      <sheetName val="NG from Russia texts"/>
      <sheetName val="NG_RUS (RG)"/>
      <sheetName val="NG from Russia (EUR)"/>
      <sheetName val="NG from Russia (BP)"/>
      <sheetName val="OIL_RES_RUS (RG)"/>
      <sheetName val="OIL_CORR_RUS (RG)"/>
      <sheetName val="OIL_PRIM_RUS (RG)"/>
      <sheetName val="OIL Pipes"/>
      <sheetName val="open sea cost evaluation"/>
      <sheetName val="extra EU - OIL ships"/>
      <sheetName val="EU - OIL ships"/>
      <sheetName val="OIL from E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H5">
            <v>15500</v>
          </cell>
          <cell r="Q5">
            <v>11729</v>
          </cell>
        </row>
        <row r="20">
          <cell r="H20">
            <v>6000</v>
          </cell>
          <cell r="Q20">
            <v>5006</v>
          </cell>
        </row>
        <row r="26">
          <cell r="H26">
            <v>5500</v>
          </cell>
          <cell r="Q26">
            <v>4513</v>
          </cell>
        </row>
      </sheetData>
      <sheetData sheetId="17">
        <row r="5">
          <cell r="M5">
            <v>208427</v>
          </cell>
          <cell r="N5">
            <v>125280</v>
          </cell>
          <cell r="O5">
            <v>143610</v>
          </cell>
          <cell r="P5">
            <v>444000</v>
          </cell>
        </row>
        <row r="20">
          <cell r="M20">
            <v>40000</v>
          </cell>
          <cell r="N20">
            <v>30000</v>
          </cell>
          <cell r="O20">
            <v>20000</v>
          </cell>
          <cell r="P20">
            <v>90000</v>
          </cell>
        </row>
        <row r="24">
          <cell r="M24">
            <v>130000</v>
          </cell>
          <cell r="N24">
            <v>13000</v>
          </cell>
          <cell r="O24">
            <v>910000</v>
          </cell>
          <cell r="P24">
            <v>1053000</v>
          </cell>
        </row>
        <row r="30">
          <cell r="M30">
            <v>24300</v>
          </cell>
          <cell r="N30">
            <v>28700</v>
          </cell>
          <cell r="O30">
            <v>172000</v>
          </cell>
          <cell r="P30">
            <v>225000</v>
          </cell>
        </row>
        <row r="42">
          <cell r="M42">
            <v>38000</v>
          </cell>
          <cell r="N42">
            <v>91000</v>
          </cell>
          <cell r="O42">
            <v>153000</v>
          </cell>
          <cell r="P42">
            <v>282000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 graph (4)"/>
      <sheetName val="chain graph (3)"/>
      <sheetName val="chain graph"/>
      <sheetName val="EU-NUC-RES (for print)"/>
      <sheetName val="Mine coordinates"/>
      <sheetName val="DEF"/>
      <sheetName val="Glossary"/>
      <sheetName val="COUNTRIES"/>
      <sheetName val="LHV"/>
      <sheetName val="risks"/>
      <sheetName val="externalities"/>
      <sheetName val="availability"/>
      <sheetName val="Conversion Table"/>
      <sheetName val="destinations"/>
      <sheetName val="corridors"/>
      <sheetName val="resources"/>
      <sheetName val="primary production"/>
      <sheetName val="secondary production"/>
      <sheetName val="tertiary production"/>
      <sheetName val="Transportation"/>
      <sheetName val="AUS (da US to 2050)"/>
      <sheetName val="AUSTRALIA doc"/>
      <sheetName val="AUSTRALIA URANIUM"/>
      <sheetName val="AUSTRALIA"/>
      <sheetName val="CANADA-UK"/>
      <sheetName val="CANADA"/>
      <sheetName val="CANADA (2)"/>
      <sheetName val="CANADA doc"/>
      <sheetName val="KAZAKHSTAN"/>
      <sheetName val="NAMIBIA (Res)"/>
      <sheetName val="NAMIBIA doc"/>
      <sheetName val="NAMIBIA (3)"/>
      <sheetName val="NAMIBIA"/>
      <sheetName val="namibia (4)"/>
      <sheetName val="Niger mines"/>
      <sheetName val="NIGER (Arlit geo)"/>
      <sheetName val="NIGER (Transport)"/>
      <sheetName val="NIGER (Res)"/>
      <sheetName val="SOUTH AFRICA"/>
      <sheetName val="UZBEKISTAN"/>
      <sheetName val="EUROPE"/>
      <sheetName val="World U mining"/>
      <sheetName val="U Resources (1)"/>
      <sheetName val="Uranium Resources"/>
      <sheetName val="ISL"/>
      <sheetName val="Mining Techniques (1)"/>
      <sheetName val="World Balance"/>
      <sheetName val="RAR"/>
      <sheetName val="Resources &amp; Production (2)(U3O8"/>
      <sheetName val="Resources &amp; Production (2)(tU)"/>
      <sheetName val="Resources &amp; Production (1)"/>
      <sheetName val="Fuel schemes and costs"/>
      <sheetName val="Costs"/>
      <sheetName val="Conversion"/>
      <sheetName val="TRADE"/>
      <sheetName val="U Transport"/>
      <sheetName val="Enrichment"/>
      <sheetName val="Up-Stream Plants"/>
      <sheetName val="LWR FF (2)"/>
      <sheetName val="chain graph (2)"/>
      <sheetName val="LWR Fuel Fabrication"/>
      <sheetName val="HR Fuel Fabrication"/>
      <sheetName val="HWR Fuel Fabrication"/>
      <sheetName val="Economics"/>
      <sheetName val="Urenco"/>
      <sheetName val="Belgium"/>
      <sheetName val="Bulgaria"/>
      <sheetName val="Czech R."/>
      <sheetName val="Finland"/>
      <sheetName val="France"/>
      <sheetName val="Germany"/>
      <sheetName val="Hungary"/>
      <sheetName val="Lithuania"/>
      <sheetName val="Romania"/>
      <sheetName val="Slovakia"/>
      <sheetName val="Slovenia"/>
      <sheetName val="Spain"/>
      <sheetName val="Sweden"/>
      <sheetName val="Switzerland"/>
      <sheetName val="The Netherlands"/>
      <sheetName val="United Kingdom"/>
      <sheetName val="Nukem"/>
      <sheetName val="RES (SK)"/>
      <sheetName val="AREVA-mines"/>
      <sheetName val="EU-NUC-RES"/>
      <sheetName val="Costs (2)"/>
      <sheetName val="2088 World Budget"/>
      <sheetName val="N-RES in US MARKAL"/>
      <sheetName val="U requirements"/>
      <sheetName val="Nuclear Cycle (2)"/>
      <sheetName val="1000MW material cycle"/>
      <sheetName val="EU45LWR95"/>
      <sheetName val="EU45LWR05"/>
      <sheetName val="EU45LWR10"/>
      <sheetName val="Nuclear Materials&amp;Parameters"/>
      <sheetName val="Materials"/>
      <sheetName val="NRES (EL2)"/>
      <sheetName val="NRES (EL)"/>
      <sheetName val="PNURNU45 (enrichment)"/>
      <sheetName val="PPUMOX"/>
      <sheetName val="MOX"/>
      <sheetName val="PNURNU19"/>
      <sheetName val="EU19GTMHR"/>
      <sheetName val="PU19SPT"/>
      <sheetName val="PH2MHR"/>
      <sheetName val="PNURNU09"/>
      <sheetName val="EU09PBMR"/>
      <sheetName val="PH2PBMR"/>
      <sheetName val="PI09SPT"/>
      <sheetName val="PH2PBMR old"/>
      <sheetName val="PUREX"/>
      <sheetName val="PWST"/>
      <sheetName val="PMOXWST"/>
      <sheetName val="PMOXSPT"/>
      <sheetName val=".....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14">
          <cell r="B14">
            <v>3</v>
          </cell>
          <cell r="C14" t="str">
            <v>PWR400</v>
          </cell>
          <cell r="D14">
            <v>785</v>
          </cell>
        </row>
        <row r="17">
          <cell r="B17">
            <v>4</v>
          </cell>
          <cell r="C17" t="str">
            <v>PWR1000</v>
          </cell>
          <cell r="D17">
            <v>4976</v>
          </cell>
        </row>
      </sheetData>
      <sheetData sheetId="66">
        <row r="13">
          <cell r="A13">
            <v>2</v>
          </cell>
          <cell r="B13" t="str">
            <v>V-230</v>
          </cell>
          <cell r="C13">
            <v>810</v>
          </cell>
        </row>
        <row r="16">
          <cell r="A16">
            <v>2</v>
          </cell>
          <cell r="B16" t="str">
            <v>V-320</v>
          </cell>
        </row>
        <row r="17">
          <cell r="C17">
            <v>1906</v>
          </cell>
        </row>
      </sheetData>
      <sheetData sheetId="67">
        <row r="14">
          <cell r="A14">
            <v>4</v>
          </cell>
          <cell r="B14" t="str">
            <v>V-213</v>
          </cell>
          <cell r="C14">
            <v>1648</v>
          </cell>
        </row>
        <row r="18">
          <cell r="A18">
            <v>2</v>
          </cell>
          <cell r="B18" t="str">
            <v>V-320</v>
          </cell>
          <cell r="C18">
            <v>1824</v>
          </cell>
        </row>
      </sheetData>
      <sheetData sheetId="68">
        <row r="10">
          <cell r="A10">
            <v>2</v>
          </cell>
          <cell r="B10" t="str">
            <v>VVER-440</v>
          </cell>
          <cell r="C10">
            <v>976</v>
          </cell>
        </row>
        <row r="14">
          <cell r="A14">
            <v>2</v>
          </cell>
          <cell r="B14" t="str">
            <v>BWR</v>
          </cell>
          <cell r="C14">
            <v>1720</v>
          </cell>
        </row>
      </sheetData>
      <sheetData sheetId="69">
        <row r="3">
          <cell r="C3" t="str">
            <v> 900 MWe</v>
          </cell>
        </row>
        <row r="13">
          <cell r="C13">
            <v>34</v>
          </cell>
          <cell r="H13">
            <v>30770</v>
          </cell>
        </row>
        <row r="14">
          <cell r="C14" t="str">
            <v> 1300 MWe</v>
          </cell>
        </row>
        <row r="21">
          <cell r="C21">
            <v>20</v>
          </cell>
          <cell r="H21">
            <v>26370</v>
          </cell>
        </row>
        <row r="22">
          <cell r="C22" t="str">
            <v> N4 - 1450 MWe</v>
          </cell>
        </row>
        <row r="23">
          <cell r="C23">
            <v>4</v>
          </cell>
          <cell r="H23">
            <v>5990</v>
          </cell>
        </row>
        <row r="24">
          <cell r="B24">
            <v>1</v>
          </cell>
          <cell r="C24" t="str">
            <v> FBR</v>
          </cell>
          <cell r="H24">
            <v>233</v>
          </cell>
        </row>
      </sheetData>
      <sheetData sheetId="70">
        <row r="28">
          <cell r="B28">
            <v>12</v>
          </cell>
        </row>
        <row r="32">
          <cell r="B32">
            <v>5</v>
          </cell>
        </row>
      </sheetData>
      <sheetData sheetId="71"/>
      <sheetData sheetId="72">
        <row r="3">
          <cell r="C3" t="str">
            <v>RBMK</v>
          </cell>
          <cell r="D3">
            <v>1185</v>
          </cell>
        </row>
      </sheetData>
      <sheetData sheetId="73">
        <row r="3">
          <cell r="C3" t="str">
            <v>Candu 6</v>
          </cell>
        </row>
        <row r="6">
          <cell r="D6">
            <v>1310</v>
          </cell>
        </row>
      </sheetData>
      <sheetData sheetId="74">
        <row r="11">
          <cell r="B11">
            <v>1</v>
          </cell>
          <cell r="C11" t="str">
            <v>V-230</v>
          </cell>
          <cell r="D11">
            <v>408</v>
          </cell>
        </row>
        <row r="14">
          <cell r="B14">
            <v>4</v>
          </cell>
          <cell r="C14" t="str">
            <v>V-213</v>
          </cell>
          <cell r="D14">
            <v>1656</v>
          </cell>
        </row>
      </sheetData>
      <sheetData sheetId="75">
        <row r="6">
          <cell r="C6" t="str">
            <v>Krsko</v>
          </cell>
          <cell r="D6">
            <v>690</v>
          </cell>
        </row>
      </sheetData>
      <sheetData sheetId="76">
        <row r="13">
          <cell r="B13">
            <v>6</v>
          </cell>
          <cell r="C13" t="str">
            <v>PWR</v>
          </cell>
          <cell r="D13">
            <v>5933</v>
          </cell>
        </row>
        <row r="17">
          <cell r="B17">
            <v>2</v>
          </cell>
          <cell r="C17" t="str">
            <v>BWR</v>
          </cell>
          <cell r="D17">
            <v>1509</v>
          </cell>
        </row>
      </sheetData>
      <sheetData sheetId="77">
        <row r="17">
          <cell r="C17">
            <v>3</v>
          </cell>
          <cell r="D17" t="str">
            <v>PWR</v>
          </cell>
          <cell r="E17">
            <v>2786</v>
          </cell>
        </row>
        <row r="21">
          <cell r="C21">
            <v>7</v>
          </cell>
          <cell r="D21" t="str">
            <v>BWR</v>
          </cell>
          <cell r="E21">
            <v>6230</v>
          </cell>
        </row>
      </sheetData>
      <sheetData sheetId="78">
        <row r="13">
          <cell r="C13">
            <v>3</v>
          </cell>
          <cell r="D13" t="str">
            <v>PWR</v>
          </cell>
          <cell r="E13">
            <v>1700</v>
          </cell>
        </row>
        <row r="17">
          <cell r="C17">
            <v>2</v>
          </cell>
          <cell r="D17" t="str">
            <v>BWR</v>
          </cell>
          <cell r="E17">
            <v>1520</v>
          </cell>
        </row>
      </sheetData>
      <sheetData sheetId="79">
        <row r="3">
          <cell r="C3" t="str">
            <v>PWR</v>
          </cell>
          <cell r="D3">
            <v>485</v>
          </cell>
        </row>
      </sheetData>
      <sheetData sheetId="80">
        <row r="16">
          <cell r="B16">
            <v>4</v>
          </cell>
          <cell r="C16" t="str">
            <v>Magnox</v>
          </cell>
          <cell r="D16">
            <v>1414</v>
          </cell>
        </row>
        <row r="17">
          <cell r="B17">
            <v>14</v>
          </cell>
          <cell r="C17" t="str">
            <v>AGR</v>
          </cell>
          <cell r="D17">
            <v>8425</v>
          </cell>
        </row>
        <row r="18">
          <cell r="B18">
            <v>1</v>
          </cell>
          <cell r="C18" t="str">
            <v>PWR</v>
          </cell>
          <cell r="D18">
            <v>1196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3:O49"/>
  <sheetViews>
    <sheetView tabSelected="1" topLeftCell="A28" zoomScale="90" zoomScaleNormal="90" workbookViewId="0">
      <selection activeCell="B38" sqref="B38"/>
    </sheetView>
  </sheetViews>
  <sheetFormatPr defaultRowHeight="12.75" x14ac:dyDescent="0.35"/>
  <cols>
    <col min="1" max="1" width="3.59765625" customWidth="1"/>
    <col min="2" max="2" width="17.1328125" customWidth="1"/>
    <col min="3" max="3" width="48" bestFit="1" customWidth="1"/>
    <col min="4" max="4" width="50.86328125" customWidth="1"/>
    <col min="5" max="5" width="11.265625" bestFit="1" customWidth="1"/>
    <col min="8" max="8" width="13.265625" customWidth="1"/>
    <col min="9" max="9" width="14" customWidth="1"/>
    <col min="10" max="11" width="9.265625" customWidth="1"/>
    <col min="12" max="12" width="9.265625" bestFit="1" customWidth="1"/>
    <col min="14" max="14" width="14.265625" customWidth="1"/>
  </cols>
  <sheetData>
    <row r="3" spans="2:15" ht="15" x14ac:dyDescent="0.4">
      <c r="B3" s="600" t="s">
        <v>283</v>
      </c>
      <c r="C3" s="601"/>
      <c r="D3" s="601"/>
      <c r="E3" s="602" t="s">
        <v>284</v>
      </c>
      <c r="F3" s="602"/>
      <c r="G3" s="12"/>
      <c r="H3" s="12"/>
      <c r="I3" s="12"/>
      <c r="J3" s="12"/>
    </row>
    <row r="4" spans="2:15" ht="13.15" x14ac:dyDescent="0.4">
      <c r="B4" s="603" t="s">
        <v>285</v>
      </c>
      <c r="C4" s="603" t="s">
        <v>286</v>
      </c>
      <c r="D4" s="603" t="s">
        <v>287</v>
      </c>
      <c r="E4" s="604" t="s">
        <v>288</v>
      </c>
      <c r="F4" s="625" t="s">
        <v>289</v>
      </c>
      <c r="G4" s="625" t="s">
        <v>290</v>
      </c>
      <c r="H4" s="625" t="s">
        <v>355</v>
      </c>
      <c r="I4" s="625" t="s">
        <v>291</v>
      </c>
      <c r="J4" s="625" t="s">
        <v>294</v>
      </c>
      <c r="K4" s="625" t="s">
        <v>293</v>
      </c>
      <c r="L4" s="625" t="s">
        <v>292</v>
      </c>
      <c r="M4" s="625" t="s">
        <v>295</v>
      </c>
      <c r="N4" s="625" t="s">
        <v>364</v>
      </c>
      <c r="O4" s="626" t="s">
        <v>358</v>
      </c>
    </row>
    <row r="5" spans="2:15" ht="13.15" thickBot="1" x14ac:dyDescent="0.4">
      <c r="B5" s="605" t="s">
        <v>296</v>
      </c>
      <c r="C5" s="605"/>
      <c r="D5" s="605"/>
      <c r="E5" s="606"/>
      <c r="F5" s="606" t="s">
        <v>297</v>
      </c>
      <c r="G5" s="606" t="s">
        <v>298</v>
      </c>
      <c r="H5" s="606" t="s">
        <v>298</v>
      </c>
      <c r="I5" s="606" t="s">
        <v>297</v>
      </c>
      <c r="J5" s="606" t="s">
        <v>299</v>
      </c>
      <c r="K5" s="606" t="s">
        <v>74</v>
      </c>
      <c r="L5" s="606" t="s">
        <v>299</v>
      </c>
      <c r="M5" s="606"/>
      <c r="N5" s="606"/>
    </row>
    <row r="6" spans="2:15" x14ac:dyDescent="0.35">
      <c r="B6" s="398" t="s">
        <v>300</v>
      </c>
      <c r="C6" s="404" t="s">
        <v>301</v>
      </c>
      <c r="D6" s="12" t="str">
        <f>$C$40</f>
        <v>NUCU308</v>
      </c>
      <c r="E6" s="281" t="s">
        <v>302</v>
      </c>
      <c r="F6" s="12">
        <f>NUC_Chain_EU!I15</f>
        <v>0.99</v>
      </c>
      <c r="G6" s="281">
        <f>NUC_Chain_EU!I13</f>
        <v>20000</v>
      </c>
      <c r="H6" s="281">
        <f>SUP_NUC!G6</f>
        <v>20000</v>
      </c>
      <c r="I6" s="607">
        <f>NUC_Chain_EU!K15</f>
        <v>0.90989898989898998</v>
      </c>
      <c r="J6" s="608">
        <f>NUC_Chain_EU!K14</f>
        <v>4.0909936155705696E-3</v>
      </c>
      <c r="M6" s="620">
        <v>1</v>
      </c>
    </row>
    <row r="7" spans="2:15" s="12" customFormat="1" x14ac:dyDescent="0.35">
      <c r="B7" s="609" t="s">
        <v>303</v>
      </c>
      <c r="C7" s="609" t="s">
        <v>304</v>
      </c>
      <c r="D7" s="12" t="str">
        <f>$C$40</f>
        <v>NUCU308</v>
      </c>
      <c r="E7" s="609" t="s">
        <v>305</v>
      </c>
      <c r="F7" s="610">
        <f>NUC_Chain_EU!I29</f>
        <v>0.99</v>
      </c>
      <c r="G7" s="609">
        <f>NUC_Chain_EU!I27</f>
        <v>6000</v>
      </c>
      <c r="H7" s="609">
        <f t="shared" ref="H7:H13" si="0">G7</f>
        <v>6000</v>
      </c>
      <c r="I7" s="612">
        <f>NUC_Chain_EU!K29</f>
        <v>0.54545454545454553</v>
      </c>
      <c r="J7" s="613">
        <f>NUC_Chain_EU!K28</f>
        <v>4.0909936155705696E-3</v>
      </c>
      <c r="M7" s="607">
        <v>1</v>
      </c>
      <c r="N7" s="621"/>
    </row>
    <row r="8" spans="2:15" s="12" customFormat="1" x14ac:dyDescent="0.35">
      <c r="B8" s="281" t="s">
        <v>306</v>
      </c>
      <c r="C8" s="404" t="s">
        <v>307</v>
      </c>
      <c r="D8" s="281" t="s">
        <v>302</v>
      </c>
      <c r="E8" s="11" t="s">
        <v>308</v>
      </c>
      <c r="F8" s="607">
        <f>NUC_Chain_EU!N15</f>
        <v>0.125</v>
      </c>
      <c r="G8" s="281">
        <f>NUC_Chain_EU!N13</f>
        <v>5000</v>
      </c>
      <c r="H8" s="281">
        <f t="shared" si="0"/>
        <v>5000</v>
      </c>
      <c r="I8" s="607">
        <f>NUC_Chain_EU!P15</f>
        <v>0.8</v>
      </c>
      <c r="J8" s="616">
        <f>NUC_Chain_EU!P14</f>
        <v>0.31364284386041036</v>
      </c>
      <c r="K8" s="611"/>
      <c r="L8" s="611"/>
      <c r="M8" s="619">
        <v>1</v>
      </c>
      <c r="N8"/>
    </row>
    <row r="9" spans="2:15" s="12" customFormat="1" x14ac:dyDescent="0.35">
      <c r="B9" s="281" t="s">
        <v>309</v>
      </c>
      <c r="C9" s="281" t="s">
        <v>310</v>
      </c>
      <c r="D9" s="281" t="s">
        <v>305</v>
      </c>
      <c r="E9" s="11" t="s">
        <v>311</v>
      </c>
      <c r="F9" s="617">
        <f>NUC_Chain_EU!N29</f>
        <v>0.125</v>
      </c>
      <c r="G9" s="281">
        <f>NUC_Chain_EU!N27</f>
        <v>100</v>
      </c>
      <c r="H9" s="281">
        <f t="shared" si="0"/>
        <v>100</v>
      </c>
      <c r="I9" s="617">
        <f>NUC_Chain_EU!P29</f>
        <v>0.8</v>
      </c>
      <c r="J9" s="618">
        <f>NUC_Chain_EU!P28</f>
        <v>0.31364284386041036</v>
      </c>
      <c r="K9" s="11"/>
      <c r="L9" s="11"/>
      <c r="M9" s="617">
        <v>1</v>
      </c>
      <c r="N9"/>
    </row>
    <row r="10" spans="2:15" s="12" customFormat="1" x14ac:dyDescent="0.35">
      <c r="B10" s="609" t="s">
        <v>312</v>
      </c>
      <c r="C10" s="609" t="s">
        <v>313</v>
      </c>
      <c r="D10" s="609" t="s">
        <v>305</v>
      </c>
      <c r="E10" s="610" t="s">
        <v>314</v>
      </c>
      <c r="F10" s="612">
        <f>NUC_Chain_EU!N42</f>
        <v>0.2</v>
      </c>
      <c r="G10" s="609">
        <f>NUC_Chain_EU!N40</f>
        <v>1000</v>
      </c>
      <c r="H10" s="609">
        <f t="shared" si="0"/>
        <v>1000</v>
      </c>
      <c r="I10" s="612">
        <f>NUC_Chain_EU!P42</f>
        <v>0.8</v>
      </c>
      <c r="J10" s="613">
        <f>NUC_Chain_EU!P41</f>
        <v>0.20909522924027357</v>
      </c>
      <c r="K10" s="610"/>
      <c r="L10" s="610"/>
      <c r="M10" s="612">
        <v>1</v>
      </c>
      <c r="N10" s="621"/>
    </row>
    <row r="11" spans="2:15" s="12" customFormat="1" x14ac:dyDescent="0.35">
      <c r="B11" s="281" t="s">
        <v>315</v>
      </c>
      <c r="C11" s="404" t="s">
        <v>316</v>
      </c>
      <c r="D11" s="11" t="s">
        <v>308</v>
      </c>
      <c r="E11" s="11" t="s">
        <v>317</v>
      </c>
      <c r="F11" s="12">
        <f>NUC_Chain_EU!S15</f>
        <v>0.99</v>
      </c>
      <c r="G11" s="12">
        <f>NUC_Chain_EU!S13</f>
        <v>3120</v>
      </c>
      <c r="H11" s="281">
        <f t="shared" si="0"/>
        <v>3120</v>
      </c>
      <c r="I11" s="607">
        <f>NUC_Chain_EU!U15</f>
        <v>0.72179487179487178</v>
      </c>
      <c r="J11" s="616">
        <f>NUC_Chain_EU!U14</f>
        <v>0.28636955308993989</v>
      </c>
      <c r="K11" s="611"/>
      <c r="L11" s="611"/>
      <c r="M11" s="619">
        <v>1</v>
      </c>
      <c r="N11"/>
    </row>
    <row r="12" spans="2:15" s="12" customFormat="1" x14ac:dyDescent="0.35">
      <c r="B12" s="281" t="s">
        <v>318</v>
      </c>
      <c r="C12" s="404" t="s">
        <v>319</v>
      </c>
      <c r="D12" s="11" t="s">
        <v>311</v>
      </c>
      <c r="E12" s="11" t="s">
        <v>317</v>
      </c>
      <c r="F12" s="12">
        <f>NUC_Chain_EU!S29</f>
        <v>0.99</v>
      </c>
      <c r="G12" s="12">
        <f>NUC_Chain_EU!S27</f>
        <v>330</v>
      </c>
      <c r="H12" s="281">
        <f t="shared" si="0"/>
        <v>330</v>
      </c>
      <c r="I12" s="607">
        <f>NUC_Chain_EU!U29</f>
        <v>9.0909090909090912E-2</v>
      </c>
      <c r="J12" s="616">
        <f>NUC_Chain_EU!U28</f>
        <v>0.28636955308993989</v>
      </c>
      <c r="K12" s="11"/>
      <c r="L12" s="11"/>
      <c r="M12" s="617">
        <v>1</v>
      </c>
      <c r="N12"/>
    </row>
    <row r="13" spans="2:15" s="11" customFormat="1" x14ac:dyDescent="0.35">
      <c r="B13" s="609" t="s">
        <v>320</v>
      </c>
      <c r="C13" s="609" t="s">
        <v>321</v>
      </c>
      <c r="D13" s="610" t="s">
        <v>314</v>
      </c>
      <c r="E13" s="610" t="s">
        <v>322</v>
      </c>
      <c r="F13" s="610">
        <f>NUC_Chain_EU!S42</f>
        <v>0.99</v>
      </c>
      <c r="G13" s="610">
        <f>NUC_Chain_EU!S40</f>
        <v>660</v>
      </c>
      <c r="H13" s="610">
        <f t="shared" si="0"/>
        <v>660</v>
      </c>
      <c r="I13" s="612">
        <f>NUC_Chain_EU!U42</f>
        <v>0.90909090909090906</v>
      </c>
      <c r="J13" s="613">
        <f>NUC_Chain_EU!U41</f>
        <v>0.28636955308993989</v>
      </c>
      <c r="K13" s="610"/>
      <c r="L13" s="610"/>
      <c r="M13" s="612">
        <v>1</v>
      </c>
      <c r="N13" s="621"/>
    </row>
    <row r="14" spans="2:15" s="11" customFormat="1" x14ac:dyDescent="0.35">
      <c r="B14" s="281" t="s">
        <v>347</v>
      </c>
      <c r="C14" s="281" t="s">
        <v>350</v>
      </c>
      <c r="D14" s="611" t="s">
        <v>317</v>
      </c>
      <c r="E14" s="11" t="s">
        <v>353</v>
      </c>
      <c r="F14" s="622">
        <v>1</v>
      </c>
      <c r="I14" s="617"/>
      <c r="J14" s="618"/>
      <c r="M14" s="617">
        <v>1</v>
      </c>
    </row>
    <row r="15" spans="2:15" s="11" customFormat="1" x14ac:dyDescent="0.35">
      <c r="B15" s="281" t="s">
        <v>348</v>
      </c>
      <c r="C15" s="281" t="s">
        <v>351</v>
      </c>
      <c r="D15" s="11" t="s">
        <v>317</v>
      </c>
      <c r="E15" s="11" t="s">
        <v>353</v>
      </c>
      <c r="F15" s="622">
        <v>1</v>
      </c>
      <c r="I15" s="617"/>
      <c r="J15" s="618"/>
      <c r="M15" s="617">
        <v>1</v>
      </c>
    </row>
    <row r="16" spans="2:15" s="11" customFormat="1" x14ac:dyDescent="0.35">
      <c r="B16" s="609" t="s">
        <v>349</v>
      </c>
      <c r="C16" s="609" t="s">
        <v>352</v>
      </c>
      <c r="D16" s="610" t="s">
        <v>322</v>
      </c>
      <c r="E16" s="609" t="s">
        <v>354</v>
      </c>
      <c r="F16" s="623">
        <v>1</v>
      </c>
      <c r="G16" s="610"/>
      <c r="H16" s="610"/>
      <c r="I16" s="612"/>
      <c r="J16" s="613"/>
      <c r="K16" s="610"/>
      <c r="L16" s="610"/>
      <c r="M16" s="612">
        <v>1</v>
      </c>
      <c r="N16" s="610"/>
    </row>
    <row r="17" spans="2:15" s="13" customFormat="1" x14ac:dyDescent="0.35">
      <c r="B17" s="281" t="s">
        <v>356</v>
      </c>
      <c r="C17" s="281" t="s">
        <v>357</v>
      </c>
      <c r="E17" s="11" t="s">
        <v>353</v>
      </c>
      <c r="O17" s="624">
        <v>1.25</v>
      </c>
    </row>
    <row r="18" spans="2:15" s="12" customFormat="1" x14ac:dyDescent="0.35">
      <c r="B18" s="281" t="s">
        <v>360</v>
      </c>
      <c r="C18" s="281" t="s">
        <v>361</v>
      </c>
      <c r="D18" s="281"/>
      <c r="E18" s="11" t="str">
        <f>C40</f>
        <v>NUCU308</v>
      </c>
      <c r="O18" s="12">
        <f>1/7</f>
        <v>0.14285714285714285</v>
      </c>
    </row>
    <row r="19" spans="2:15" s="12" customFormat="1" x14ac:dyDescent="0.35">
      <c r="C19" s="404"/>
      <c r="D19" s="281"/>
    </row>
    <row r="20" spans="2:15" x14ac:dyDescent="0.35">
      <c r="B20" s="12"/>
      <c r="C20" s="12"/>
      <c r="D20" s="12"/>
      <c r="E20" s="12"/>
      <c r="F20" s="12"/>
      <c r="G20" s="12"/>
      <c r="H20" s="12"/>
      <c r="I20" s="12"/>
    </row>
    <row r="21" spans="2:15" x14ac:dyDescent="0.35">
      <c r="B21" s="12"/>
      <c r="C21" s="12"/>
      <c r="D21" s="12"/>
      <c r="E21" s="12"/>
      <c r="F21" s="12"/>
      <c r="G21" s="12"/>
      <c r="H21" s="12"/>
      <c r="I21" s="12"/>
    </row>
    <row r="22" spans="2:15" ht="13.15" x14ac:dyDescent="0.4">
      <c r="B22" s="627" t="s">
        <v>323</v>
      </c>
      <c r="C22" s="628"/>
      <c r="D22" s="628"/>
      <c r="E22" s="628"/>
      <c r="F22" s="628"/>
      <c r="G22" s="628"/>
      <c r="H22" s="628"/>
      <c r="I22" s="628"/>
    </row>
    <row r="23" spans="2:15" ht="13.15" x14ac:dyDescent="0.4">
      <c r="B23" s="629" t="s">
        <v>324</v>
      </c>
      <c r="C23" s="630" t="s">
        <v>285</v>
      </c>
      <c r="D23" s="630" t="s">
        <v>286</v>
      </c>
      <c r="E23" s="630" t="s">
        <v>325</v>
      </c>
      <c r="F23" s="630" t="s">
        <v>326</v>
      </c>
      <c r="G23" s="630" t="s">
        <v>327</v>
      </c>
      <c r="H23" s="630" t="s">
        <v>328</v>
      </c>
      <c r="I23" s="631" t="s">
        <v>329</v>
      </c>
    </row>
    <row r="24" spans="2:15" x14ac:dyDescent="0.35">
      <c r="B24" s="632" t="s">
        <v>330</v>
      </c>
      <c r="C24" s="633" t="s">
        <v>300</v>
      </c>
      <c r="D24" s="632" t="s">
        <v>301</v>
      </c>
      <c r="E24" s="632" t="s">
        <v>205</v>
      </c>
      <c r="F24" s="632" t="s">
        <v>298</v>
      </c>
      <c r="G24" s="634"/>
      <c r="H24" s="634"/>
      <c r="I24" s="634"/>
    </row>
    <row r="25" spans="2:15" x14ac:dyDescent="0.35">
      <c r="B25" s="628"/>
      <c r="C25" s="632" t="s">
        <v>303</v>
      </c>
      <c r="D25" s="632" t="s">
        <v>304</v>
      </c>
      <c r="E25" s="632" t="s">
        <v>205</v>
      </c>
      <c r="F25" s="632" t="s">
        <v>298</v>
      </c>
      <c r="G25" s="628"/>
      <c r="H25" s="628"/>
      <c r="I25" s="628"/>
    </row>
    <row r="26" spans="2:15" x14ac:dyDescent="0.35">
      <c r="B26" s="628"/>
      <c r="C26" s="635" t="s">
        <v>306</v>
      </c>
      <c r="D26" s="632" t="s">
        <v>307</v>
      </c>
      <c r="E26" s="632" t="s">
        <v>205</v>
      </c>
      <c r="F26" s="632" t="s">
        <v>298</v>
      </c>
      <c r="G26" s="628"/>
      <c r="H26" s="628"/>
      <c r="I26" s="628"/>
    </row>
    <row r="27" spans="2:15" x14ac:dyDescent="0.35">
      <c r="B27" s="628"/>
      <c r="C27" s="635" t="s">
        <v>309</v>
      </c>
      <c r="D27" s="635" t="s">
        <v>310</v>
      </c>
      <c r="E27" s="632" t="s">
        <v>205</v>
      </c>
      <c r="F27" s="632" t="s">
        <v>298</v>
      </c>
      <c r="G27" s="628"/>
      <c r="H27" s="628"/>
      <c r="I27" s="628"/>
    </row>
    <row r="28" spans="2:15" x14ac:dyDescent="0.35">
      <c r="B28" s="628"/>
      <c r="C28" s="635" t="s">
        <v>312</v>
      </c>
      <c r="D28" s="635" t="s">
        <v>313</v>
      </c>
      <c r="E28" s="632" t="s">
        <v>205</v>
      </c>
      <c r="F28" s="632" t="s">
        <v>298</v>
      </c>
      <c r="G28" s="628"/>
      <c r="H28" s="628"/>
      <c r="I28" s="628"/>
    </row>
    <row r="29" spans="2:15" x14ac:dyDescent="0.35">
      <c r="B29" s="628"/>
      <c r="C29" s="635" t="s">
        <v>315</v>
      </c>
      <c r="D29" s="635" t="s">
        <v>316</v>
      </c>
      <c r="E29" s="632" t="s">
        <v>205</v>
      </c>
      <c r="F29" s="632" t="s">
        <v>298</v>
      </c>
      <c r="G29" s="628"/>
      <c r="H29" s="628"/>
      <c r="I29" s="628"/>
    </row>
    <row r="30" spans="2:15" s="13" customFormat="1" x14ac:dyDescent="0.35">
      <c r="B30" s="636"/>
      <c r="C30" s="635" t="s">
        <v>318</v>
      </c>
      <c r="D30" s="635" t="s">
        <v>319</v>
      </c>
      <c r="E30" s="632" t="s">
        <v>205</v>
      </c>
      <c r="F30" s="632" t="s">
        <v>298</v>
      </c>
      <c r="G30" s="636"/>
      <c r="H30" s="636"/>
      <c r="I30" s="636"/>
    </row>
    <row r="31" spans="2:15" x14ac:dyDescent="0.35">
      <c r="B31" s="637"/>
      <c r="C31" s="637" t="s">
        <v>320</v>
      </c>
      <c r="D31" s="637" t="s">
        <v>321</v>
      </c>
      <c r="E31" s="638" t="s">
        <v>205</v>
      </c>
      <c r="F31" s="638" t="s">
        <v>298</v>
      </c>
      <c r="G31" s="637"/>
      <c r="H31" s="637"/>
      <c r="I31" s="637"/>
    </row>
    <row r="32" spans="2:15" x14ac:dyDescent="0.35">
      <c r="B32" s="628"/>
      <c r="C32" s="633" t="s">
        <v>347</v>
      </c>
      <c r="D32" s="628" t="s">
        <v>350</v>
      </c>
      <c r="E32" s="632" t="s">
        <v>205</v>
      </c>
      <c r="F32" s="632" t="s">
        <v>298</v>
      </c>
      <c r="G32" s="628"/>
      <c r="H32" s="628"/>
      <c r="I32" s="628"/>
    </row>
    <row r="33" spans="2:9" x14ac:dyDescent="0.35">
      <c r="B33" s="628"/>
      <c r="C33" s="633" t="s">
        <v>348</v>
      </c>
      <c r="D33" s="628" t="s">
        <v>351</v>
      </c>
      <c r="E33" s="632" t="s">
        <v>205</v>
      </c>
      <c r="F33" s="632" t="s">
        <v>298</v>
      </c>
      <c r="G33" s="628"/>
      <c r="H33" s="628"/>
      <c r="I33" s="628"/>
    </row>
    <row r="34" spans="2:9" x14ac:dyDescent="0.35">
      <c r="B34" s="628"/>
      <c r="C34" s="628" t="s">
        <v>349</v>
      </c>
      <c r="D34" s="628" t="s">
        <v>352</v>
      </c>
      <c r="E34" s="632" t="s">
        <v>205</v>
      </c>
      <c r="F34" s="632" t="s">
        <v>298</v>
      </c>
      <c r="G34" s="628"/>
      <c r="H34" s="628"/>
      <c r="I34" s="628"/>
    </row>
    <row r="35" spans="2:9" x14ac:dyDescent="0.35">
      <c r="B35" s="628" t="s">
        <v>359</v>
      </c>
      <c r="C35" s="635" t="s">
        <v>356</v>
      </c>
      <c r="D35" s="635" t="s">
        <v>357</v>
      </c>
      <c r="E35" s="632" t="s">
        <v>205</v>
      </c>
      <c r="F35" s="628"/>
      <c r="G35" s="628"/>
      <c r="H35" s="628"/>
      <c r="I35" s="628"/>
    </row>
    <row r="36" spans="2:9" x14ac:dyDescent="0.35">
      <c r="B36" s="628"/>
      <c r="C36" s="628" t="str">
        <f>B18</f>
        <v>IMPNUCU308</v>
      </c>
      <c r="D36" s="628" t="str">
        <f>C18</f>
        <v>Import of Uranium 308 from ROW</v>
      </c>
      <c r="E36" s="632" t="s">
        <v>205</v>
      </c>
      <c r="F36" s="628"/>
      <c r="G36" s="628"/>
      <c r="H36" s="628"/>
      <c r="I36" s="628"/>
    </row>
    <row r="38" spans="2:9" x14ac:dyDescent="0.35">
      <c r="B38" s="639" t="s">
        <v>365</v>
      </c>
      <c r="C38" s="628"/>
      <c r="D38" s="628"/>
      <c r="E38" s="628"/>
      <c r="F38" s="628"/>
      <c r="G38" s="628"/>
      <c r="H38" s="628"/>
      <c r="I38" s="628"/>
    </row>
    <row r="39" spans="2:9" ht="13.15" x14ac:dyDescent="0.4">
      <c r="B39" s="629" t="s">
        <v>331</v>
      </c>
      <c r="C39" s="630" t="s">
        <v>332</v>
      </c>
      <c r="D39" s="630" t="s">
        <v>333</v>
      </c>
      <c r="E39" s="630" t="s">
        <v>334</v>
      </c>
      <c r="F39" s="630" t="s">
        <v>335</v>
      </c>
      <c r="G39" s="630" t="s">
        <v>336</v>
      </c>
      <c r="H39" s="630" t="s">
        <v>337</v>
      </c>
      <c r="I39" s="631" t="s">
        <v>338</v>
      </c>
    </row>
    <row r="40" spans="2:9" x14ac:dyDescent="0.35">
      <c r="B40" s="632" t="s">
        <v>346</v>
      </c>
      <c r="C40" s="632" t="s">
        <v>362</v>
      </c>
      <c r="D40" s="633" t="s">
        <v>363</v>
      </c>
      <c r="E40" s="632" t="s">
        <v>205</v>
      </c>
      <c r="F40" s="633"/>
      <c r="G40" s="632"/>
      <c r="H40" s="632"/>
      <c r="I40" s="633"/>
    </row>
    <row r="41" spans="2:9" x14ac:dyDescent="0.35">
      <c r="B41" s="632"/>
      <c r="C41" s="632" t="s">
        <v>302</v>
      </c>
      <c r="D41" s="633" t="s">
        <v>339</v>
      </c>
      <c r="E41" s="632" t="s">
        <v>205</v>
      </c>
      <c r="F41" s="633"/>
      <c r="G41" s="632"/>
      <c r="H41" s="632"/>
      <c r="I41" s="633"/>
    </row>
    <row r="42" spans="2:9" x14ac:dyDescent="0.35">
      <c r="B42" s="632"/>
      <c r="C42" s="632" t="s">
        <v>305</v>
      </c>
      <c r="D42" s="633" t="s">
        <v>340</v>
      </c>
      <c r="E42" s="632" t="s">
        <v>205</v>
      </c>
      <c r="F42" s="633"/>
      <c r="G42" s="632"/>
      <c r="H42" s="632"/>
      <c r="I42" s="633"/>
    </row>
    <row r="43" spans="2:9" x14ac:dyDescent="0.35">
      <c r="B43" s="632"/>
      <c r="C43" s="632" t="s">
        <v>308</v>
      </c>
      <c r="D43" s="633" t="s">
        <v>341</v>
      </c>
      <c r="E43" s="632" t="s">
        <v>205</v>
      </c>
      <c r="F43" s="633"/>
      <c r="G43" s="632"/>
      <c r="H43" s="632"/>
      <c r="I43" s="633"/>
    </row>
    <row r="44" spans="2:9" x14ac:dyDescent="0.35">
      <c r="B44" s="632"/>
      <c r="C44" s="632" t="s">
        <v>311</v>
      </c>
      <c r="D44" s="633" t="s">
        <v>342</v>
      </c>
      <c r="E44" s="632" t="s">
        <v>205</v>
      </c>
      <c r="F44" s="633"/>
      <c r="G44" s="632"/>
      <c r="H44" s="632"/>
      <c r="I44" s="633"/>
    </row>
    <row r="45" spans="2:9" x14ac:dyDescent="0.35">
      <c r="B45" s="632"/>
      <c r="C45" s="632" t="s">
        <v>314</v>
      </c>
      <c r="D45" s="633" t="s">
        <v>343</v>
      </c>
      <c r="E45" s="632" t="s">
        <v>205</v>
      </c>
      <c r="F45" s="633"/>
      <c r="G45" s="632"/>
      <c r="H45" s="632"/>
      <c r="I45" s="633"/>
    </row>
    <row r="46" spans="2:9" x14ac:dyDescent="0.35">
      <c r="B46" s="632"/>
      <c r="C46" s="632" t="s">
        <v>317</v>
      </c>
      <c r="D46" s="633" t="s">
        <v>344</v>
      </c>
      <c r="E46" s="632" t="s">
        <v>205</v>
      </c>
      <c r="F46" s="633"/>
      <c r="G46" s="632"/>
      <c r="H46" s="632"/>
      <c r="I46" s="633"/>
    </row>
    <row r="47" spans="2:9" x14ac:dyDescent="0.35">
      <c r="B47" s="632"/>
      <c r="C47" s="632" t="s">
        <v>322</v>
      </c>
      <c r="D47" s="633" t="s">
        <v>345</v>
      </c>
      <c r="E47" s="632" t="s">
        <v>205</v>
      </c>
      <c r="F47" s="633"/>
      <c r="G47" s="632"/>
      <c r="H47" s="632"/>
      <c r="I47" s="633"/>
    </row>
    <row r="48" spans="2:9" x14ac:dyDescent="0.35">
      <c r="B48" s="633"/>
      <c r="C48" s="632"/>
      <c r="D48" s="633"/>
      <c r="E48" s="632"/>
      <c r="F48" s="628"/>
      <c r="G48" s="628"/>
      <c r="H48" s="628"/>
      <c r="I48" s="628"/>
    </row>
    <row r="49" spans="3:5" x14ac:dyDescent="0.35">
      <c r="C49" s="632"/>
      <c r="D49" s="633"/>
      <c r="E49" s="63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K72"/>
  <sheetViews>
    <sheetView topLeftCell="P1" zoomScale="80" zoomScaleNormal="80" workbookViewId="0">
      <selection activeCell="AC15" sqref="AC15"/>
    </sheetView>
  </sheetViews>
  <sheetFormatPr defaultRowHeight="13.5" x14ac:dyDescent="0.35"/>
  <cols>
    <col min="1" max="1" width="6" customWidth="1"/>
    <col min="2" max="2" width="10.59765625" customWidth="1"/>
    <col min="3" max="3" width="11.3984375" customWidth="1"/>
    <col min="4" max="4" width="12.3984375" customWidth="1"/>
    <col min="5" max="6" width="10.3984375" customWidth="1"/>
    <col min="7" max="7" width="13.3984375" customWidth="1"/>
    <col min="8" max="8" width="11" customWidth="1"/>
    <col min="9" max="11" width="10.3984375" customWidth="1"/>
    <col min="12" max="12" width="13.73046875" customWidth="1"/>
    <col min="13" max="13" width="10.3984375" style="9" customWidth="1"/>
    <col min="14" max="14" width="12.3984375" customWidth="1"/>
    <col min="15" max="15" width="10.3984375" customWidth="1"/>
    <col min="16" max="16" width="11.3984375" customWidth="1"/>
    <col min="17" max="17" width="17.1328125" style="9" customWidth="1"/>
    <col min="18" max="18" width="11.73046875" customWidth="1"/>
    <col min="19" max="21" width="10.3984375" customWidth="1"/>
    <col min="22" max="22" width="12.1328125" customWidth="1"/>
    <col min="23" max="23" width="13.265625" customWidth="1"/>
    <col min="24" max="24" width="15.265625" bestFit="1" customWidth="1"/>
    <col min="25" max="25" width="11.265625" bestFit="1" customWidth="1"/>
    <col min="26" max="26" width="14" bestFit="1" customWidth="1"/>
    <col min="27" max="27" width="16.265625" style="7" customWidth="1"/>
    <col min="28" max="28" width="9.1328125" style="11" customWidth="1"/>
    <col min="29" max="29" width="13.73046875" customWidth="1"/>
    <col min="30" max="30" width="16.59765625" customWidth="1"/>
    <col min="31" max="31" width="14.265625" customWidth="1"/>
    <col min="32" max="32" width="9.86328125" customWidth="1"/>
    <col min="33" max="33" width="12.1328125" bestFit="1" customWidth="1"/>
    <col min="37" max="37" width="12.3984375" bestFit="1" customWidth="1"/>
  </cols>
  <sheetData>
    <row r="3" spans="2:37" s="1" customFormat="1" ht="15" x14ac:dyDescent="0.4">
      <c r="D3" s="2" t="s">
        <v>0</v>
      </c>
      <c r="E3" s="3"/>
      <c r="I3" s="4" t="s">
        <v>1</v>
      </c>
      <c r="J3" s="5"/>
      <c r="M3" s="6"/>
      <c r="N3" s="4" t="s">
        <v>2</v>
      </c>
      <c r="O3" s="5"/>
      <c r="Q3" s="6"/>
      <c r="S3" s="4" t="s">
        <v>3</v>
      </c>
      <c r="T3" s="5"/>
      <c r="U3" s="5"/>
      <c r="X3" s="4" t="s">
        <v>4</v>
      </c>
      <c r="Y3" s="5"/>
      <c r="Z3" s="5"/>
      <c r="AA3" s="7"/>
      <c r="AB3" s="8"/>
    </row>
    <row r="4" spans="2:37" ht="15" x14ac:dyDescent="0.4">
      <c r="D4" s="2" t="s">
        <v>5</v>
      </c>
      <c r="E4" s="2"/>
      <c r="F4" s="2"/>
      <c r="G4" s="3"/>
      <c r="I4" s="4" t="s">
        <v>6</v>
      </c>
      <c r="J4" s="4"/>
      <c r="N4" s="4" t="s">
        <v>6</v>
      </c>
      <c r="O4" s="4"/>
      <c r="S4" s="4" t="s">
        <v>6</v>
      </c>
      <c r="T4" s="4"/>
      <c r="U4" s="10"/>
      <c r="X4" s="4" t="s">
        <v>7</v>
      </c>
      <c r="Y4" s="4"/>
      <c r="Z4" s="4"/>
    </row>
    <row r="5" spans="2:37" x14ac:dyDescent="0.35">
      <c r="R5" s="12"/>
    </row>
    <row r="6" spans="2:37" s="13" customFormat="1" x14ac:dyDescent="0.35">
      <c r="B6" s="11"/>
      <c r="M6" s="14"/>
      <c r="Q6" s="14"/>
      <c r="AA6" s="15"/>
      <c r="AB6" s="11"/>
    </row>
    <row r="7" spans="2:37" s="13" customFormat="1" ht="13.9" x14ac:dyDescent="0.4">
      <c r="B7" s="11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9" t="s">
        <v>8</v>
      </c>
      <c r="O7" s="20"/>
      <c r="P7" s="20"/>
      <c r="Q7" s="18"/>
      <c r="R7" s="21"/>
      <c r="S7" s="22" t="s">
        <v>9</v>
      </c>
      <c r="T7" s="22"/>
      <c r="U7" s="22"/>
      <c r="V7" s="21"/>
      <c r="W7" s="20"/>
      <c r="X7" s="22" t="s">
        <v>4</v>
      </c>
      <c r="Y7" s="22"/>
      <c r="Z7" s="22"/>
      <c r="AA7" s="23"/>
      <c r="AB7" s="11"/>
      <c r="AC7" s="24">
        <f>1.3</f>
        <v>1.3</v>
      </c>
      <c r="AD7" s="25" t="s">
        <v>10</v>
      </c>
      <c r="AE7" s="25" t="s">
        <v>11</v>
      </c>
      <c r="AF7" s="11"/>
      <c r="AG7" s="11"/>
      <c r="AK7" s="26">
        <f>1000*('[1]EU-NUC-RES'!$Y$11+'[1]EU-NUC-RES'!$Z$11+'[1]EU-NUC-RES'!$AA$11-'[1]EU-NUC-RES'!$AH$163)</f>
        <v>813703.43519999983</v>
      </c>
    </row>
    <row r="8" spans="2:37" ht="13.9" x14ac:dyDescent="0.4">
      <c r="B8" s="11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9" t="s">
        <v>12</v>
      </c>
      <c r="O8" s="20"/>
      <c r="P8" s="20"/>
      <c r="Q8" s="18"/>
      <c r="R8" s="21"/>
      <c r="S8" s="20" t="s">
        <v>13</v>
      </c>
      <c r="T8" s="20"/>
      <c r="U8" s="20"/>
      <c r="V8" s="21"/>
      <c r="W8" s="20"/>
      <c r="X8" s="20"/>
      <c r="Y8" s="20"/>
      <c r="Z8" s="20"/>
      <c r="AA8" s="23"/>
      <c r="AC8" s="24">
        <v>0.85</v>
      </c>
      <c r="AD8" s="25" t="s">
        <v>14</v>
      </c>
      <c r="AE8" s="27"/>
      <c r="AF8" s="28"/>
      <c r="AG8" s="29"/>
    </row>
    <row r="9" spans="2:37" ht="15" thickBot="1" x14ac:dyDescent="0.45">
      <c r="B9" s="11"/>
      <c r="C9" s="16"/>
      <c r="D9" s="16"/>
      <c r="E9" s="16"/>
      <c r="F9" s="16"/>
      <c r="G9" s="16"/>
      <c r="H9" s="17"/>
      <c r="I9" s="17"/>
      <c r="J9" s="17"/>
      <c r="K9" s="17"/>
      <c r="L9" s="17"/>
      <c r="M9" s="18"/>
      <c r="N9" s="30" t="s">
        <v>15</v>
      </c>
      <c r="O9" s="20"/>
      <c r="P9" s="20"/>
      <c r="Q9" s="18"/>
      <c r="R9" s="21"/>
      <c r="S9" s="20" t="s">
        <v>16</v>
      </c>
      <c r="T9" s="20"/>
      <c r="U9" s="20"/>
      <c r="V9" s="21"/>
      <c r="W9" s="20"/>
      <c r="X9" s="20"/>
      <c r="Y9" s="20"/>
      <c r="Z9" s="20"/>
      <c r="AA9" s="23"/>
      <c r="AC9" s="31">
        <f>AC7*AC8*8760</f>
        <v>9679.7999999999993</v>
      </c>
      <c r="AD9" s="32" t="s">
        <v>17</v>
      </c>
      <c r="AE9" s="33" t="s">
        <v>18</v>
      </c>
      <c r="AF9" s="34">
        <f>AC9/(50*24*0.33)</f>
        <v>24.443939393939392</v>
      </c>
      <c r="AG9" s="35" t="s">
        <v>19</v>
      </c>
    </row>
    <row r="10" spans="2:37" x14ac:dyDescent="0.35">
      <c r="B10" s="11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8"/>
      <c r="N10" s="36"/>
      <c r="O10" s="36"/>
      <c r="P10" s="36"/>
      <c r="Q10" s="18"/>
      <c r="R10" s="21"/>
      <c r="S10" s="21"/>
      <c r="T10" s="21"/>
      <c r="U10" s="21"/>
      <c r="V10" s="21"/>
      <c r="W10" s="20"/>
      <c r="X10" s="20"/>
      <c r="Y10" s="20"/>
      <c r="Z10" s="20"/>
      <c r="AA10" s="23"/>
    </row>
    <row r="11" spans="2:37" ht="13.9" x14ac:dyDescent="0.4">
      <c r="B11" s="11"/>
      <c r="C11" s="16"/>
      <c r="D11" s="37" t="s">
        <v>0</v>
      </c>
      <c r="E11" s="37"/>
      <c r="F11" s="16"/>
      <c r="G11" s="16"/>
      <c r="H11" s="17"/>
      <c r="I11" s="38" t="s">
        <v>1</v>
      </c>
      <c r="J11" s="17"/>
      <c r="K11" s="17"/>
      <c r="L11" s="17"/>
      <c r="M11" s="18"/>
      <c r="N11" s="36" t="s">
        <v>20</v>
      </c>
      <c r="O11" s="36"/>
      <c r="P11" s="36"/>
      <c r="Q11" s="18"/>
      <c r="R11" s="21"/>
      <c r="S11" s="21" t="s">
        <v>21</v>
      </c>
      <c r="T11" s="21"/>
      <c r="U11" s="21"/>
      <c r="V11" s="21"/>
      <c r="W11" s="20"/>
      <c r="X11" s="20" t="s">
        <v>22</v>
      </c>
      <c r="Y11" s="20"/>
      <c r="Z11" s="20"/>
      <c r="AA11" s="23"/>
      <c r="AC11" s="5" t="s">
        <v>23</v>
      </c>
    </row>
    <row r="12" spans="2:37" ht="13.9" x14ac:dyDescent="0.4">
      <c r="B12" s="11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39">
        <v>10800000</v>
      </c>
      <c r="O12" s="36"/>
      <c r="P12" s="36"/>
      <c r="Q12" s="18"/>
      <c r="R12" s="21"/>
      <c r="S12" s="21"/>
      <c r="T12" s="21"/>
      <c r="U12" s="21"/>
      <c r="V12" s="21"/>
      <c r="W12" s="20"/>
      <c r="X12" s="20"/>
      <c r="Y12" s="20"/>
      <c r="Z12" s="20"/>
      <c r="AA12" s="23"/>
      <c r="AC12" s="40">
        <f>('[2]EU-NUC-RES (for print)'!Y12+'[2]EU-NUC-RES (for print)'!Z12+'[2]EU-NUC-RES (for print)'!AA12)/1000</f>
        <v>124.053</v>
      </c>
      <c r="AD12" s="25" t="s">
        <v>10</v>
      </c>
      <c r="AE12" s="25" t="s">
        <v>11</v>
      </c>
      <c r="AF12" s="11"/>
      <c r="AG12" s="11"/>
    </row>
    <row r="13" spans="2:37" ht="21.75" customHeight="1" thickBot="1" x14ac:dyDescent="0.45">
      <c r="B13" s="11"/>
      <c r="C13" s="41">
        <f>C14*C15</f>
        <v>0</v>
      </c>
      <c r="D13" s="42">
        <v>20000</v>
      </c>
      <c r="E13" s="42"/>
      <c r="F13" s="42"/>
      <c r="G13" s="43">
        <f>((D14/E15+E14)*D13+F14*G14+C15*G14/D15)</f>
        <v>3609.5912324760034</v>
      </c>
      <c r="H13" s="44">
        <f>H15*H14</f>
        <v>3609.5912324760034</v>
      </c>
      <c r="I13" s="45">
        <v>20000</v>
      </c>
      <c r="J13" s="45"/>
      <c r="K13" s="45"/>
      <c r="L13" s="46">
        <f>((I14/J15+J14)*I13+K14*L14+H15*L14/I15)</f>
        <v>3684.039051645821</v>
      </c>
      <c r="M13" s="47">
        <f>M15*M14</f>
        <v>3684.039051645821</v>
      </c>
      <c r="N13" s="48">
        <v>5000</v>
      </c>
      <c r="O13" s="48"/>
      <c r="P13" s="48"/>
      <c r="Q13" s="49">
        <f>((N14/O15+O14)*N13+P14*Q14+M15*Q14/N15)</f>
        <v>4397.497318689906</v>
      </c>
      <c r="R13" s="50">
        <f>R15*R14</f>
        <v>4397.497318689906</v>
      </c>
      <c r="S13" s="51">
        <v>3120</v>
      </c>
      <c r="T13" s="51"/>
      <c r="U13" s="51"/>
      <c r="V13" s="50">
        <f>((S14/T15+T14)*S13+U14*V14+R15*V14/S15)</f>
        <v>5042.4015522484497</v>
      </c>
      <c r="W13" s="52">
        <f>V13</f>
        <v>5042.4015522484497</v>
      </c>
      <c r="X13" s="53">
        <f>AC12</f>
        <v>124.053</v>
      </c>
      <c r="Y13" s="53"/>
      <c r="Z13" s="53"/>
      <c r="AA13" s="43">
        <f>((1000*X14*0.0935+Y14)*X13+Z14*AA14+W15*AA14/X15)</f>
        <v>23579924.293931726</v>
      </c>
      <c r="AC13" s="24"/>
      <c r="AD13" s="25" t="s">
        <v>14</v>
      </c>
      <c r="AE13" s="25"/>
      <c r="AF13" s="11"/>
      <c r="AG13" s="11"/>
    </row>
    <row r="14" spans="2:37" ht="21.75" customHeight="1" thickBot="1" x14ac:dyDescent="0.45">
      <c r="B14" s="11"/>
      <c r="C14" s="54">
        <f>G14/D15</f>
        <v>18567.472500744618</v>
      </c>
      <c r="D14" s="55"/>
      <c r="E14" s="56"/>
      <c r="F14" s="57">
        <f>E53</f>
        <v>0.19636769354738737</v>
      </c>
      <c r="G14" s="58">
        <f>H14</f>
        <v>18381.79777573717</v>
      </c>
      <c r="H14" s="614">
        <f>L14/I15</f>
        <v>18381.79777573717</v>
      </c>
      <c r="I14" s="60"/>
      <c r="J14" s="61"/>
      <c r="K14" s="62">
        <f>E55/8</f>
        <v>4.0909936155705696E-3</v>
      </c>
      <c r="L14" s="615">
        <f>M14</f>
        <v>18197.979797979799</v>
      </c>
      <c r="M14" s="64">
        <f>Q14/N15</f>
        <v>18197.979797979799</v>
      </c>
      <c r="N14" s="65"/>
      <c r="O14" s="66"/>
      <c r="P14" s="67">
        <f>E57</f>
        <v>0.31364284386041036</v>
      </c>
      <c r="Q14" s="68">
        <f>R14</f>
        <v>2274.7474747474748</v>
      </c>
      <c r="R14" s="69">
        <f>V14/S15</f>
        <v>2274.7474747474748</v>
      </c>
      <c r="S14" s="70"/>
      <c r="T14" s="71"/>
      <c r="U14" s="72">
        <f>E59</f>
        <v>0.28636955308993989</v>
      </c>
      <c r="V14" s="73">
        <f>W14</f>
        <v>2252</v>
      </c>
      <c r="W14" s="74">
        <v>2252</v>
      </c>
      <c r="X14" s="75">
        <v>1875</v>
      </c>
      <c r="Y14" s="76"/>
      <c r="Z14" s="77">
        <f>0.01832/1.5</f>
        <v>1.2213333333333333E-2</v>
      </c>
      <c r="AA14" s="78">
        <f>AC14</f>
        <v>813703.43519999983</v>
      </c>
      <c r="AC14" s="79">
        <v>813703.43519999983</v>
      </c>
      <c r="AD14" s="25" t="s">
        <v>17</v>
      </c>
      <c r="AE14" s="25" t="s">
        <v>18</v>
      </c>
      <c r="AF14" s="80">
        <f>'[2]EU-NUC-RES (for print)'!Y9+'[2]EU-NUC-RES (for print)'!Z9+'[2]EU-NUC-RES (for print)'!AA9</f>
        <v>2252.4212354285714</v>
      </c>
      <c r="AG14" s="81" t="s">
        <v>19</v>
      </c>
    </row>
    <row r="15" spans="2:37" ht="21.75" customHeight="1" thickBot="1" x14ac:dyDescent="0.45">
      <c r="B15" s="11"/>
      <c r="C15" s="41">
        <v>0</v>
      </c>
      <c r="D15" s="82">
        <v>0.99</v>
      </c>
      <c r="E15" s="83">
        <v>20</v>
      </c>
      <c r="F15" s="84">
        <f>G14/D13</f>
        <v>0.91908988878685849</v>
      </c>
      <c r="G15" s="85">
        <f>G13/G14</f>
        <v>0.19636769354738737</v>
      </c>
      <c r="H15" s="86">
        <f>G15</f>
        <v>0.19636769354738737</v>
      </c>
      <c r="I15" s="87">
        <v>0.99</v>
      </c>
      <c r="J15" s="88">
        <v>20</v>
      </c>
      <c r="K15" s="89">
        <f>L14/I13</f>
        <v>0.90989898989898998</v>
      </c>
      <c r="L15" s="86">
        <f>L13/L14</f>
        <v>0.20244219921899215</v>
      </c>
      <c r="M15" s="90">
        <f>L15</f>
        <v>0.20244219921899215</v>
      </c>
      <c r="N15" s="91">
        <f>1/8</f>
        <v>0.125</v>
      </c>
      <c r="O15" s="92">
        <v>20</v>
      </c>
      <c r="P15" s="93">
        <v>0.8</v>
      </c>
      <c r="Q15" s="94">
        <f>Q13/Q14</f>
        <v>1.9331804376123476</v>
      </c>
      <c r="R15" s="95">
        <f>Q15</f>
        <v>1.9331804376123476</v>
      </c>
      <c r="S15" s="96">
        <v>0.99</v>
      </c>
      <c r="T15" s="97">
        <v>20</v>
      </c>
      <c r="U15" s="98">
        <f>V14/S13</f>
        <v>0.72179487179487178</v>
      </c>
      <c r="V15" s="99">
        <f>V13/V14</f>
        <v>2.2390770658296844</v>
      </c>
      <c r="W15" s="100">
        <f>V15</f>
        <v>2.2390770658296844</v>
      </c>
      <c r="X15" s="101">
        <v>1</v>
      </c>
      <c r="Y15" s="102">
        <v>40</v>
      </c>
      <c r="Z15" s="103">
        <f>AA14/X13/9760</f>
        <v>0.67206156728621935</v>
      </c>
      <c r="AA15" s="104">
        <f>AA13/AA14/1000</f>
        <v>2.8978523715014214E-2</v>
      </c>
      <c r="AC15" s="79">
        <f>AC14*3.6/1000</f>
        <v>2929.3323667199993</v>
      </c>
      <c r="AD15" s="25" t="s">
        <v>17</v>
      </c>
      <c r="AE15" s="25" t="s">
        <v>24</v>
      </c>
    </row>
    <row r="16" spans="2:37" ht="13.9" x14ac:dyDescent="0.4">
      <c r="B16" s="11"/>
      <c r="C16" s="105"/>
      <c r="D16" s="105"/>
      <c r="E16" s="105"/>
      <c r="F16" s="105"/>
      <c r="G16" s="105"/>
      <c r="H16" s="106"/>
      <c r="I16" s="106"/>
      <c r="J16" s="106"/>
      <c r="K16" s="106"/>
      <c r="L16" s="106"/>
      <c r="M16" s="18"/>
      <c r="N16" s="107"/>
      <c r="O16" s="107"/>
      <c r="P16" s="36"/>
      <c r="Q16" s="18"/>
      <c r="R16" s="108"/>
      <c r="S16" s="109"/>
      <c r="T16" s="109"/>
      <c r="U16" s="108"/>
      <c r="V16" s="108"/>
      <c r="W16" s="20"/>
      <c r="X16" s="110"/>
      <c r="Y16" s="110"/>
      <c r="Z16" s="110"/>
      <c r="AA16" s="53"/>
      <c r="AC16" s="40">
        <f>V13</f>
        <v>5042.4015522484497</v>
      </c>
      <c r="AD16" s="25" t="s">
        <v>25</v>
      </c>
      <c r="AE16" s="25" t="s">
        <v>26</v>
      </c>
    </row>
    <row r="17" spans="2:37" ht="13.9" x14ac:dyDescent="0.4">
      <c r="B17" s="11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8"/>
      <c r="N17" s="36"/>
      <c r="O17" s="36"/>
      <c r="P17" s="36"/>
      <c r="Q17" s="18"/>
      <c r="R17" s="21"/>
      <c r="S17" s="21"/>
      <c r="T17" s="21"/>
      <c r="U17" s="21"/>
      <c r="V17" s="21"/>
      <c r="W17" s="20"/>
      <c r="X17" s="20"/>
      <c r="Y17" s="20"/>
      <c r="Z17" s="20"/>
      <c r="AA17" s="23"/>
      <c r="AC17" s="111">
        <f>V13/AC14</f>
        <v>6.1968542027957393E-3</v>
      </c>
      <c r="AD17" s="25" t="s">
        <v>27</v>
      </c>
      <c r="AE17" s="25" t="s">
        <v>28</v>
      </c>
    </row>
    <row r="18" spans="2:37" s="13" customFormat="1" ht="15" x14ac:dyDescent="0.4">
      <c r="B18" s="112"/>
      <c r="C18" s="16"/>
      <c r="D18" s="16"/>
      <c r="E18" s="16"/>
      <c r="F18" s="16"/>
      <c r="G18" s="16"/>
      <c r="H18" s="17"/>
      <c r="I18" s="17"/>
      <c r="J18" s="17"/>
      <c r="K18" s="17"/>
      <c r="L18" s="17"/>
      <c r="M18" s="18"/>
      <c r="N18" s="36"/>
      <c r="O18" s="36"/>
      <c r="P18" s="36"/>
      <c r="Q18" s="18"/>
      <c r="R18" s="21"/>
      <c r="S18" s="21"/>
      <c r="T18" s="21"/>
      <c r="U18" s="21"/>
      <c r="V18" s="21"/>
      <c r="W18" s="20"/>
      <c r="X18" s="113">
        <f>AA14/W14</f>
        <v>361.32479360568374</v>
      </c>
      <c r="Y18" s="20"/>
      <c r="Z18" s="20"/>
      <c r="AA18" s="23"/>
      <c r="AB18" s="11"/>
    </row>
    <row r="19" spans="2:37" s="13" customFormat="1" x14ac:dyDescent="0.35">
      <c r="B19" s="1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4"/>
      <c r="N19" s="11"/>
      <c r="O19" s="11"/>
      <c r="P19" s="11"/>
      <c r="Q19" s="114"/>
      <c r="R19" s="115"/>
      <c r="S19" s="11"/>
      <c r="T19" s="11"/>
      <c r="U19" s="11"/>
      <c r="V19" s="11"/>
      <c r="W19" s="11"/>
      <c r="X19" s="11"/>
      <c r="Y19" s="11"/>
      <c r="Z19" s="11"/>
      <c r="AA19" s="116"/>
      <c r="AB19" s="11"/>
    </row>
    <row r="20" spans="2:37" x14ac:dyDescent="0.35">
      <c r="B20" s="12"/>
      <c r="L20" s="13"/>
      <c r="M20" s="114"/>
      <c r="N20" s="11"/>
      <c r="O20" s="11"/>
      <c r="P20" s="11"/>
      <c r="Q20" s="114"/>
      <c r="R20" s="11"/>
      <c r="S20" s="11"/>
      <c r="T20" s="11"/>
      <c r="U20" s="11"/>
      <c r="V20" s="11"/>
      <c r="AC20">
        <f>AC12*8760*0.85</f>
        <v>923698.63800000004</v>
      </c>
    </row>
    <row r="21" spans="2:37" ht="15" x14ac:dyDescent="0.4">
      <c r="C21" s="117" t="s">
        <v>29</v>
      </c>
      <c r="D21" s="117"/>
      <c r="E21" s="10"/>
      <c r="H21" s="17"/>
      <c r="I21" s="19" t="s">
        <v>1</v>
      </c>
      <c r="J21" s="20"/>
      <c r="K21" s="20"/>
      <c r="L21" s="17"/>
      <c r="M21" s="18"/>
      <c r="N21" s="19" t="s">
        <v>30</v>
      </c>
      <c r="O21" s="20"/>
      <c r="P21" s="20"/>
      <c r="Q21" s="18"/>
      <c r="R21" s="21"/>
      <c r="S21" s="22" t="s">
        <v>9</v>
      </c>
      <c r="T21" s="22"/>
      <c r="U21" s="22"/>
      <c r="V21" s="21"/>
      <c r="W21" s="20"/>
      <c r="X21" s="22" t="s">
        <v>31</v>
      </c>
      <c r="Y21" s="22"/>
      <c r="Z21" s="22"/>
      <c r="AA21" s="23"/>
      <c r="AK21">
        <f>1000*('[1]EU-NUC-RES'!$W$11+'[1]EU-NUC-RES'!$X$11)</f>
        <v>62314.61039999999</v>
      </c>
    </row>
    <row r="22" spans="2:37" ht="13.9" x14ac:dyDescent="0.4">
      <c r="H22" s="17"/>
      <c r="I22" s="19" t="s">
        <v>32</v>
      </c>
      <c r="J22" s="20"/>
      <c r="K22" s="20"/>
      <c r="L22" s="17"/>
      <c r="M22" s="18"/>
      <c r="N22" s="19" t="s">
        <v>33</v>
      </c>
      <c r="O22" s="20"/>
      <c r="P22" s="20"/>
      <c r="Q22" s="18"/>
      <c r="R22" s="21"/>
      <c r="S22" s="19" t="s">
        <v>33</v>
      </c>
      <c r="T22" s="20"/>
      <c r="U22" s="20"/>
      <c r="V22" s="21"/>
      <c r="W22" s="20"/>
      <c r="X22" s="20"/>
      <c r="Y22" s="20"/>
      <c r="Z22" s="20"/>
      <c r="AA22" s="23"/>
    </row>
    <row r="23" spans="2:37" ht="15" x14ac:dyDescent="0.4">
      <c r="B23" s="640" t="s">
        <v>34</v>
      </c>
      <c r="C23" s="640"/>
      <c r="D23" s="118" t="s">
        <v>35</v>
      </c>
      <c r="E23" s="117">
        <v>11729</v>
      </c>
      <c r="F23" s="117" t="s">
        <v>19</v>
      </c>
      <c r="H23" s="17"/>
      <c r="I23" s="17"/>
      <c r="J23" s="17"/>
      <c r="K23" s="17"/>
      <c r="L23" s="17"/>
      <c r="M23" s="18"/>
      <c r="N23" s="30" t="s">
        <v>36</v>
      </c>
      <c r="O23" s="20"/>
      <c r="P23" s="20"/>
      <c r="Q23" s="18"/>
      <c r="R23" s="21"/>
      <c r="S23" s="20" t="s">
        <v>37</v>
      </c>
      <c r="T23" s="20"/>
      <c r="U23" s="20"/>
      <c r="V23" s="21"/>
      <c r="W23" s="20"/>
      <c r="X23" s="20"/>
      <c r="Y23" s="20"/>
      <c r="Z23" s="20"/>
      <c r="AA23" s="23"/>
    </row>
    <row r="24" spans="2:37" ht="15" x14ac:dyDescent="0.4">
      <c r="B24" s="640" t="s">
        <v>38</v>
      </c>
      <c r="C24" s="641"/>
      <c r="D24" s="118" t="s">
        <v>39</v>
      </c>
      <c r="E24" s="117">
        <v>9519</v>
      </c>
      <c r="F24" s="117" t="s">
        <v>19</v>
      </c>
      <c r="H24" s="17"/>
      <c r="I24" s="17"/>
      <c r="J24" s="17"/>
      <c r="K24" s="17"/>
      <c r="L24" s="17"/>
      <c r="M24" s="18"/>
      <c r="N24" s="36"/>
      <c r="O24" s="36"/>
      <c r="P24" s="36"/>
      <c r="Q24" s="18"/>
      <c r="R24" s="21"/>
      <c r="S24" s="21"/>
      <c r="T24" s="21"/>
      <c r="U24" s="21"/>
      <c r="V24" s="21"/>
      <c r="W24" s="20"/>
      <c r="X24" s="20"/>
      <c r="Y24" s="20"/>
      <c r="Z24" s="20"/>
      <c r="AA24" s="23"/>
    </row>
    <row r="25" spans="2:37" ht="15" x14ac:dyDescent="0.4">
      <c r="B25" s="640" t="s">
        <v>40</v>
      </c>
      <c r="C25" s="640"/>
      <c r="D25" s="118" t="s">
        <v>39</v>
      </c>
      <c r="E25" s="117">
        <v>3096</v>
      </c>
      <c r="F25" s="117" t="s">
        <v>19</v>
      </c>
      <c r="H25" s="17"/>
      <c r="I25" s="38" t="s">
        <v>1</v>
      </c>
      <c r="J25" s="17"/>
      <c r="K25" s="17"/>
      <c r="L25" s="17"/>
      <c r="M25" s="18"/>
      <c r="N25" s="36" t="s">
        <v>41</v>
      </c>
      <c r="O25" s="36"/>
      <c r="P25" s="36"/>
      <c r="Q25" s="18"/>
      <c r="R25" s="21"/>
      <c r="S25" s="21" t="s">
        <v>21</v>
      </c>
      <c r="T25" s="21"/>
      <c r="U25" s="21"/>
      <c r="V25" s="21"/>
      <c r="W25" s="20"/>
      <c r="X25" s="20" t="s">
        <v>22</v>
      </c>
      <c r="Y25" s="20"/>
      <c r="Z25" s="20"/>
      <c r="AA25" s="23"/>
    </row>
    <row r="26" spans="2:37" ht="15" x14ac:dyDescent="0.4">
      <c r="B26" s="640" t="s">
        <v>42</v>
      </c>
      <c r="C26" s="640"/>
      <c r="D26" s="118" t="s">
        <v>39</v>
      </c>
      <c r="E26" s="117">
        <v>3725</v>
      </c>
      <c r="F26" s="117" t="s">
        <v>19</v>
      </c>
      <c r="H26" s="17"/>
      <c r="I26" s="17"/>
      <c r="J26" s="17"/>
      <c r="K26" s="17"/>
      <c r="L26" s="17"/>
      <c r="M26" s="18"/>
      <c r="N26" s="39">
        <v>4200000</v>
      </c>
      <c r="O26" s="36"/>
      <c r="P26" s="36"/>
      <c r="Q26" s="18"/>
      <c r="R26" s="21"/>
      <c r="S26" s="21"/>
      <c r="T26" s="21"/>
      <c r="U26" s="21"/>
      <c r="V26" s="21"/>
      <c r="W26" s="20"/>
      <c r="X26" s="20"/>
      <c r="Y26" s="20"/>
      <c r="Z26" s="20"/>
      <c r="AA26" s="23"/>
    </row>
    <row r="27" spans="2:37" ht="23.25" customHeight="1" thickBot="1" x14ac:dyDescent="0.45">
      <c r="B27" s="640" t="s">
        <v>43</v>
      </c>
      <c r="C27" s="640"/>
      <c r="D27" s="117"/>
      <c r="E27" s="117">
        <f>SUM(E23:E26)</f>
        <v>28069</v>
      </c>
      <c r="F27" s="117" t="s">
        <v>19</v>
      </c>
      <c r="H27" s="44">
        <f>H29*H28</f>
        <v>649.14940015665252</v>
      </c>
      <c r="I27" s="45">
        <v>6000</v>
      </c>
      <c r="J27" s="45"/>
      <c r="K27" s="45"/>
      <c r="L27" s="46">
        <f>((I28/J29+J28)*I27+K28*L28+H29*L28/I29)</f>
        <v>662.53810653488335</v>
      </c>
      <c r="M27" s="47">
        <f>M29*M28</f>
        <v>49.076896780361729</v>
      </c>
      <c r="N27" s="48">
        <v>100</v>
      </c>
      <c r="O27" s="48"/>
      <c r="P27" s="48"/>
      <c r="Q27" s="49">
        <f>((N28/O29+O28)*N27+P28*Q28+M29*Q28/N29)</f>
        <v>58.581225382192343</v>
      </c>
      <c r="R27" s="120">
        <f>R29*R28</f>
        <v>58.581225382192343</v>
      </c>
      <c r="S27" s="51">
        <v>330</v>
      </c>
      <c r="T27" s="51"/>
      <c r="U27" s="51"/>
      <c r="V27" s="50">
        <f>((S28/T29+T28)*S27+U28*V28+R29*V28/S29)</f>
        <v>67.172311974890533</v>
      </c>
      <c r="W27" s="52">
        <f>AA40</f>
        <v>557733.33391145384</v>
      </c>
      <c r="X27" s="53">
        <v>1.196</v>
      </c>
      <c r="Y27" s="53"/>
      <c r="Z27" s="53"/>
      <c r="AA27" s="43">
        <f>((1000*X28/Y29+Y28)*X27+Z28*AA28+W29*AA28/X29)</f>
        <v>75639.443952144429</v>
      </c>
    </row>
    <row r="28" spans="2:37" ht="23.25" customHeight="1" thickBot="1" x14ac:dyDescent="0.45">
      <c r="H28" s="59">
        <f>L28/I29</f>
        <v>3305.7851239669426</v>
      </c>
      <c r="I28" s="60"/>
      <c r="J28" s="61"/>
      <c r="K28" s="62">
        <f>E55/8</f>
        <v>4.0909936155705696E-3</v>
      </c>
      <c r="L28" s="63">
        <f>M28+M41</f>
        <v>3272.727272727273</v>
      </c>
      <c r="M28" s="64">
        <f>Q28/N29</f>
        <v>242.42424242424244</v>
      </c>
      <c r="N28" s="65"/>
      <c r="O28" s="66"/>
      <c r="P28" s="67">
        <f>E57</f>
        <v>0.31364284386041036</v>
      </c>
      <c r="Q28" s="68">
        <f>R28</f>
        <v>30.303030303030305</v>
      </c>
      <c r="R28" s="121">
        <f>V28/S29</f>
        <v>30.303030303030305</v>
      </c>
      <c r="S28" s="70"/>
      <c r="T28" s="71"/>
      <c r="U28" s="72">
        <f>E59</f>
        <v>0.28636955308993989</v>
      </c>
      <c r="V28" s="73">
        <f>W28</f>
        <v>30</v>
      </c>
      <c r="W28" s="122">
        <v>30</v>
      </c>
      <c r="X28" s="75">
        <v>1875</v>
      </c>
      <c r="Y28" s="76"/>
      <c r="Z28" s="77">
        <f>0.01832/1.5</f>
        <v>1.2213333333333333E-2</v>
      </c>
      <c r="AA28" s="78">
        <f>1000*'[1]EU-NUC-RES'!$AH$163</f>
        <v>8695.8768</v>
      </c>
      <c r="AC28" s="79">
        <f>AA28</f>
        <v>8695.8768</v>
      </c>
      <c r="AD28" s="25" t="s">
        <v>17</v>
      </c>
      <c r="AE28" s="25" t="s">
        <v>18</v>
      </c>
    </row>
    <row r="29" spans="2:37" ht="23.25" customHeight="1" thickBot="1" x14ac:dyDescent="0.45">
      <c r="H29" s="86">
        <f>G15</f>
        <v>0.19636769354738737</v>
      </c>
      <c r="I29" s="87">
        <v>0.99</v>
      </c>
      <c r="J29" s="88">
        <v>20</v>
      </c>
      <c r="K29" s="89">
        <f>L28/I27</f>
        <v>0.54545454545454553</v>
      </c>
      <c r="L29" s="86">
        <f>L27/L28</f>
        <v>0.20244219921899212</v>
      </c>
      <c r="M29" s="90">
        <f>L29</f>
        <v>0.20244219921899212</v>
      </c>
      <c r="N29" s="91">
        <f>1/8</f>
        <v>0.125</v>
      </c>
      <c r="O29" s="92">
        <v>20</v>
      </c>
      <c r="P29" s="93">
        <v>0.8</v>
      </c>
      <c r="Q29" s="94">
        <f>Q27/Q28</f>
        <v>1.9331804376123471</v>
      </c>
      <c r="R29" s="95">
        <f>Q29</f>
        <v>1.9331804376123471</v>
      </c>
      <c r="S29" s="96">
        <v>0.99</v>
      </c>
      <c r="T29" s="97">
        <v>20</v>
      </c>
      <c r="U29" s="98">
        <f>V28/S27</f>
        <v>9.0909090909090912E-2</v>
      </c>
      <c r="V29" s="99">
        <f>V27/V28</f>
        <v>2.2390770658296844</v>
      </c>
      <c r="W29" s="100">
        <f>V29</f>
        <v>2.2390770658296844</v>
      </c>
      <c r="X29" s="101">
        <v>1</v>
      </c>
      <c r="Y29" s="102">
        <v>40</v>
      </c>
      <c r="Z29" s="103">
        <f>AA28/X27/9760</f>
        <v>0.74495901639344264</v>
      </c>
      <c r="AA29" s="104">
        <f>AA27/AA28/1000</f>
        <v>8.698311359717565E-3</v>
      </c>
      <c r="AC29" s="79">
        <f>AC28*3.6/1000</f>
        <v>31.305156480000001</v>
      </c>
      <c r="AD29" s="25" t="s">
        <v>17</v>
      </c>
      <c r="AE29" s="25" t="s">
        <v>24</v>
      </c>
    </row>
    <row r="30" spans="2:37" ht="13.9" x14ac:dyDescent="0.4">
      <c r="H30" s="17"/>
      <c r="I30" s="123"/>
      <c r="J30" s="123"/>
      <c r="K30" s="17"/>
      <c r="L30" s="17"/>
      <c r="M30" s="18"/>
      <c r="N30" s="107"/>
      <c r="O30" s="107"/>
      <c r="P30" s="36"/>
      <c r="Q30" s="18"/>
      <c r="R30" s="108"/>
      <c r="S30" s="109"/>
      <c r="T30" s="109"/>
      <c r="U30" s="108"/>
      <c r="V30" s="108"/>
      <c r="W30" s="23"/>
      <c r="X30" s="53"/>
      <c r="Y30" s="53"/>
      <c r="Z30" s="53"/>
      <c r="AA30" s="53"/>
      <c r="AC30" s="40"/>
      <c r="AD30" s="25"/>
      <c r="AE30" s="25"/>
    </row>
    <row r="31" spans="2:37" ht="13.9" x14ac:dyDescent="0.4">
      <c r="H31" s="17"/>
      <c r="I31" s="17"/>
      <c r="J31" s="17"/>
      <c r="K31" s="17"/>
      <c r="L31" s="17"/>
      <c r="M31" s="18"/>
      <c r="N31" s="36"/>
      <c r="O31" s="36"/>
      <c r="P31" s="36"/>
      <c r="Q31" s="18"/>
      <c r="R31" s="21"/>
      <c r="S31" s="21"/>
      <c r="T31" s="21"/>
      <c r="U31" s="21"/>
      <c r="V31" s="21"/>
      <c r="W31" s="20"/>
      <c r="X31" s="20"/>
      <c r="Y31" s="20"/>
      <c r="Z31" s="20"/>
      <c r="AA31" s="23"/>
      <c r="AC31" s="111"/>
      <c r="AD31" s="25"/>
      <c r="AE31" s="25"/>
    </row>
    <row r="32" spans="2:37" ht="15" x14ac:dyDescent="0.4">
      <c r="H32" s="17"/>
      <c r="I32" s="17"/>
      <c r="J32" s="17"/>
      <c r="K32" s="17"/>
      <c r="L32" s="17"/>
      <c r="M32" s="18"/>
      <c r="N32" s="36"/>
      <c r="O32" s="36"/>
      <c r="P32" s="36"/>
      <c r="Q32" s="18"/>
      <c r="R32" s="21"/>
      <c r="S32" s="21"/>
      <c r="T32" s="21"/>
      <c r="U32" s="21"/>
      <c r="V32" s="21"/>
      <c r="W32" s="20"/>
      <c r="X32" s="113">
        <f>AA28/W28</f>
        <v>289.86255999999997</v>
      </c>
      <c r="Y32" s="20"/>
      <c r="Z32" s="20"/>
      <c r="AA32" s="23"/>
      <c r="AC32" s="12"/>
      <c r="AD32" s="12"/>
      <c r="AE32" s="12"/>
      <c r="AF32" s="12"/>
      <c r="AG32" s="12"/>
      <c r="AH32" s="12"/>
    </row>
    <row r="33" spans="8:36" s="12" customFormat="1" x14ac:dyDescent="0.35">
      <c r="H33" s="11"/>
      <c r="I33" s="11"/>
      <c r="J33" s="11"/>
      <c r="K33" s="11"/>
      <c r="L33" s="11"/>
      <c r="M33" s="114"/>
      <c r="N33" s="11"/>
      <c r="O33" s="11"/>
      <c r="P33" s="11"/>
      <c r="Q33" s="114"/>
      <c r="R33" s="11"/>
      <c r="S33" s="11"/>
      <c r="T33" s="11"/>
      <c r="U33" s="11"/>
      <c r="V33" s="11"/>
      <c r="W33" s="11"/>
      <c r="X33" s="11"/>
      <c r="Y33" s="11"/>
      <c r="Z33" s="11"/>
      <c r="AA33" s="116"/>
      <c r="AB33" s="11"/>
      <c r="AC33" s="11"/>
      <c r="AD33" s="11"/>
      <c r="AE33" s="11"/>
      <c r="AF33" s="11"/>
      <c r="AG33" s="11"/>
    </row>
    <row r="34" spans="8:36" ht="13.9" x14ac:dyDescent="0.4">
      <c r="H34" s="11"/>
      <c r="I34" s="11"/>
      <c r="J34" s="11"/>
      <c r="K34" s="11"/>
      <c r="L34" s="11"/>
      <c r="M34" s="18"/>
      <c r="N34" s="19" t="s">
        <v>30</v>
      </c>
      <c r="O34" s="20"/>
      <c r="P34" s="20"/>
      <c r="Q34" s="18"/>
      <c r="R34" s="21"/>
      <c r="S34" s="22" t="s">
        <v>9</v>
      </c>
      <c r="T34" s="22"/>
      <c r="U34" s="22"/>
      <c r="V34" s="21"/>
      <c r="W34" s="20"/>
      <c r="X34" s="22" t="s">
        <v>44</v>
      </c>
      <c r="Y34" s="22"/>
      <c r="Z34" s="22"/>
      <c r="AA34" s="23"/>
      <c r="AC34" s="11"/>
      <c r="AD34" s="11"/>
      <c r="AE34" s="11"/>
      <c r="AF34" s="11"/>
      <c r="AG34" s="11"/>
      <c r="AH34" s="12"/>
    </row>
    <row r="35" spans="8:36" ht="13.9" x14ac:dyDescent="0.4">
      <c r="H35" s="11"/>
      <c r="I35" s="11"/>
      <c r="J35" s="11"/>
      <c r="K35" s="11"/>
      <c r="L35" s="11"/>
      <c r="M35" s="18"/>
      <c r="N35" s="19" t="s">
        <v>33</v>
      </c>
      <c r="O35" s="20"/>
      <c r="P35" s="20"/>
      <c r="Q35" s="18"/>
      <c r="R35" s="21"/>
      <c r="S35" s="19" t="s">
        <v>45</v>
      </c>
      <c r="T35" s="20"/>
      <c r="U35" s="20"/>
      <c r="V35" s="21"/>
      <c r="W35" s="20"/>
      <c r="X35" s="20"/>
      <c r="Y35" s="20"/>
      <c r="Z35" s="20"/>
      <c r="AA35" s="23"/>
      <c r="AC35" s="11"/>
      <c r="AD35" s="11"/>
      <c r="AE35" s="11"/>
      <c r="AF35" s="11"/>
      <c r="AG35" s="11"/>
      <c r="AH35" s="12"/>
    </row>
    <row r="36" spans="8:36" ht="14.25" x14ac:dyDescent="0.35">
      <c r="H36" s="11"/>
      <c r="I36" s="11"/>
      <c r="J36" s="11"/>
      <c r="K36" s="11"/>
      <c r="L36" s="11"/>
      <c r="M36" s="18"/>
      <c r="N36" s="30" t="s">
        <v>36</v>
      </c>
      <c r="O36" s="20"/>
      <c r="P36" s="20"/>
      <c r="Q36" s="18"/>
      <c r="R36" s="21"/>
      <c r="S36" s="20" t="s">
        <v>37</v>
      </c>
      <c r="T36" s="20"/>
      <c r="U36" s="20"/>
      <c r="V36" s="21"/>
      <c r="W36" s="20"/>
      <c r="X36" s="20"/>
      <c r="Y36" s="20"/>
      <c r="Z36" s="20"/>
      <c r="AA36" s="23"/>
      <c r="AC36" s="11"/>
      <c r="AD36" s="11"/>
      <c r="AE36" s="11"/>
      <c r="AF36" s="11"/>
      <c r="AG36" s="11"/>
      <c r="AH36" s="12"/>
    </row>
    <row r="37" spans="8:36" x14ac:dyDescent="0.35">
      <c r="H37" s="11"/>
      <c r="I37" s="11"/>
      <c r="J37" s="11"/>
      <c r="K37" s="11"/>
      <c r="L37" s="11"/>
      <c r="M37" s="18"/>
      <c r="N37" s="36"/>
      <c r="O37" s="36"/>
      <c r="P37" s="36"/>
      <c r="Q37" s="18"/>
      <c r="R37" s="21"/>
      <c r="S37" s="21"/>
      <c r="T37" s="21"/>
      <c r="U37" s="21"/>
      <c r="V37" s="21"/>
      <c r="W37" s="20"/>
      <c r="X37" s="20"/>
      <c r="Y37" s="20"/>
      <c r="Z37" s="20"/>
      <c r="AA37" s="23"/>
      <c r="AC37" s="11"/>
      <c r="AD37" s="11"/>
      <c r="AE37" s="11"/>
      <c r="AF37" s="11"/>
      <c r="AG37" s="11"/>
      <c r="AH37" s="12"/>
    </row>
    <row r="38" spans="8:36" x14ac:dyDescent="0.35">
      <c r="H38" s="11"/>
      <c r="I38" s="11"/>
      <c r="J38" s="11"/>
      <c r="K38" s="11"/>
      <c r="L38" s="11"/>
      <c r="M38" s="18"/>
      <c r="N38" s="36" t="s">
        <v>41</v>
      </c>
      <c r="O38" s="36"/>
      <c r="P38" s="36"/>
      <c r="Q38" s="18"/>
      <c r="R38" s="21"/>
      <c r="S38" s="21" t="s">
        <v>46</v>
      </c>
      <c r="T38" s="21"/>
      <c r="U38" s="21"/>
      <c r="V38" s="21"/>
      <c r="W38" s="20"/>
      <c r="X38" s="20" t="s">
        <v>47</v>
      </c>
      <c r="Y38" s="20"/>
      <c r="Z38" s="20"/>
      <c r="AA38" s="23"/>
      <c r="AC38" s="11"/>
      <c r="AD38" s="11"/>
      <c r="AE38" s="11"/>
      <c r="AF38" s="11"/>
      <c r="AG38" s="11"/>
      <c r="AH38" s="12"/>
    </row>
    <row r="39" spans="8:36" x14ac:dyDescent="0.35">
      <c r="H39" s="11"/>
      <c r="I39" s="11"/>
      <c r="J39" s="11"/>
      <c r="K39" s="11"/>
      <c r="L39" s="11"/>
      <c r="M39" s="18"/>
      <c r="N39" s="39">
        <v>4200000</v>
      </c>
      <c r="O39" s="36"/>
      <c r="P39" s="36"/>
      <c r="Q39" s="18"/>
      <c r="R39" s="21"/>
      <c r="S39" s="21"/>
      <c r="T39" s="21"/>
      <c r="U39" s="21"/>
      <c r="V39" s="21"/>
      <c r="W39" s="20"/>
      <c r="X39" s="20"/>
      <c r="Y39" s="20"/>
      <c r="Z39" s="20"/>
      <c r="AA39" s="23"/>
      <c r="AC39" s="11"/>
      <c r="AD39" s="11"/>
      <c r="AE39" s="11"/>
      <c r="AF39" s="11"/>
      <c r="AG39" s="11"/>
      <c r="AH39" s="12"/>
    </row>
    <row r="40" spans="8:36" ht="13.9" thickBot="1" x14ac:dyDescent="0.4">
      <c r="H40" s="11"/>
      <c r="I40" s="11"/>
      <c r="J40" s="11"/>
      <c r="K40" s="11"/>
      <c r="L40" s="115"/>
      <c r="M40" s="47">
        <f>M42*M41</f>
        <v>613.46120975452163</v>
      </c>
      <c r="N40" s="48">
        <v>1000</v>
      </c>
      <c r="O40" s="48"/>
      <c r="P40" s="48"/>
      <c r="Q40" s="49">
        <f>((N41/O42+O41)*N40+P41*Q41+M42*Q41/N42)</f>
        <v>740.18559111226318</v>
      </c>
      <c r="R40" s="120">
        <f>R42*R41</f>
        <v>740.18559111226307</v>
      </c>
      <c r="S40" s="51">
        <v>660</v>
      </c>
      <c r="T40" s="51"/>
      <c r="U40" s="51"/>
      <c r="V40" s="50">
        <f>((S41/T42+T41)*S40+U41*V41+R42*V41/S42)</f>
        <v>912.00732296622698</v>
      </c>
      <c r="W40" s="124">
        <f>V40</f>
        <v>912.00732296622698</v>
      </c>
      <c r="X40" s="53">
        <v>9.8390000000000004</v>
      </c>
      <c r="Y40" s="53"/>
      <c r="Z40" s="53"/>
      <c r="AA40" s="43">
        <f>((1000*X41/Y42+Y41)*X40+Z41*AA41+W42*AA41/X42)</f>
        <v>557733.33391145384</v>
      </c>
      <c r="AC40" s="11"/>
      <c r="AD40" s="11"/>
      <c r="AE40" s="11"/>
      <c r="AF40" s="11"/>
      <c r="AG40" s="11"/>
      <c r="AH40" s="12"/>
    </row>
    <row r="41" spans="8:36" ht="14.25" thickBot="1" x14ac:dyDescent="0.45">
      <c r="H41" s="11"/>
      <c r="I41" s="11"/>
      <c r="J41" s="11"/>
      <c r="K41" s="11"/>
      <c r="L41" s="11"/>
      <c r="M41" s="64">
        <f>Q41/N42</f>
        <v>3030.3030303030305</v>
      </c>
      <c r="N41" s="65"/>
      <c r="O41" s="66"/>
      <c r="P41" s="67">
        <f>E57*3/4.5</f>
        <v>0.20909522924027357</v>
      </c>
      <c r="Q41" s="68">
        <f>R41</f>
        <v>606.06060606060612</v>
      </c>
      <c r="R41" s="121">
        <f>V41/S42</f>
        <v>606.06060606060612</v>
      </c>
      <c r="S41" s="70"/>
      <c r="T41" s="71"/>
      <c r="U41" s="72">
        <f>E59</f>
        <v>0.28636955308993989</v>
      </c>
      <c r="V41" s="125">
        <f>W41</f>
        <v>600</v>
      </c>
      <c r="W41" s="122">
        <v>600</v>
      </c>
      <c r="X41" s="75">
        <v>1875</v>
      </c>
      <c r="Y41" s="76"/>
      <c r="Z41" s="77">
        <f>0.01832/1.5</f>
        <v>1.2213333333333333E-2</v>
      </c>
      <c r="AA41" s="78">
        <v>63000</v>
      </c>
      <c r="AC41" s="79">
        <f>AA41</f>
        <v>63000</v>
      </c>
      <c r="AD41" s="25" t="s">
        <v>17</v>
      </c>
      <c r="AE41" s="25" t="s">
        <v>18</v>
      </c>
      <c r="AF41" s="11"/>
      <c r="AG41" s="11"/>
      <c r="AH41" s="12"/>
    </row>
    <row r="42" spans="8:36" ht="14.25" thickBot="1" x14ac:dyDescent="0.45">
      <c r="H42" s="11"/>
      <c r="I42" s="11"/>
      <c r="J42" s="11"/>
      <c r="K42" s="11"/>
      <c r="L42" s="11"/>
      <c r="M42" s="90">
        <f>L29</f>
        <v>0.20244219921899212</v>
      </c>
      <c r="N42" s="126">
        <f>1/5</f>
        <v>0.2</v>
      </c>
      <c r="O42" s="92">
        <v>20</v>
      </c>
      <c r="P42" s="93">
        <v>0.8</v>
      </c>
      <c r="Q42" s="94">
        <f>Q40/Q41</f>
        <v>1.221306225335234</v>
      </c>
      <c r="R42" s="95">
        <f>Q42</f>
        <v>1.221306225335234</v>
      </c>
      <c r="S42" s="96">
        <v>0.99</v>
      </c>
      <c r="T42" s="97">
        <v>20</v>
      </c>
      <c r="U42" s="98">
        <f>V41/S40</f>
        <v>0.90909090909090906</v>
      </c>
      <c r="V42" s="99">
        <f>V40/V41</f>
        <v>1.5200122049437117</v>
      </c>
      <c r="W42" s="100">
        <f>V42</f>
        <v>1.5200122049437117</v>
      </c>
      <c r="X42" s="101">
        <v>1</v>
      </c>
      <c r="Y42" s="102">
        <v>40</v>
      </c>
      <c r="Z42" s="103">
        <f>AA41/X40/9760</f>
        <v>0.65605427714065301</v>
      </c>
      <c r="AA42" s="104">
        <f>AA40/AA41/1000</f>
        <v>8.8529100620865688E-3</v>
      </c>
      <c r="AC42" s="79">
        <f>AC41*3.6/1000</f>
        <v>226.8</v>
      </c>
      <c r="AD42" s="25" t="s">
        <v>17</v>
      </c>
      <c r="AE42" s="25" t="s">
        <v>24</v>
      </c>
      <c r="AF42" s="11"/>
      <c r="AG42" s="11"/>
      <c r="AH42" s="12"/>
      <c r="AJ42">
        <f>AC42/W41</f>
        <v>0.378</v>
      </c>
    </row>
    <row r="43" spans="8:36" x14ac:dyDescent="0.4">
      <c r="H43" s="11"/>
      <c r="I43" s="11"/>
      <c r="J43" s="11"/>
      <c r="K43" s="11"/>
      <c r="L43" s="11"/>
      <c r="M43" s="18"/>
      <c r="N43" s="107"/>
      <c r="O43" s="107"/>
      <c r="P43" s="36"/>
      <c r="Q43" s="18"/>
      <c r="R43" s="108"/>
      <c r="S43" s="109"/>
      <c r="T43" s="109"/>
      <c r="U43" s="108"/>
      <c r="V43" s="108"/>
      <c r="W43" s="20"/>
      <c r="X43" s="110"/>
      <c r="Y43" s="110"/>
      <c r="Z43" s="110"/>
      <c r="AA43" s="53"/>
      <c r="AC43" s="11"/>
      <c r="AD43" s="11"/>
      <c r="AE43" s="11"/>
      <c r="AF43" s="11"/>
      <c r="AG43" s="11"/>
      <c r="AH43" s="12"/>
    </row>
    <row r="44" spans="8:36" x14ac:dyDescent="0.35">
      <c r="H44" s="11"/>
      <c r="I44" s="11"/>
      <c r="J44" s="11"/>
      <c r="K44" s="11"/>
      <c r="L44" s="11"/>
      <c r="M44" s="18"/>
      <c r="N44" s="36"/>
      <c r="O44" s="36"/>
      <c r="P44" s="36"/>
      <c r="Q44" s="18"/>
      <c r="R44" s="21"/>
      <c r="S44" s="21"/>
      <c r="T44" s="21"/>
      <c r="U44" s="21"/>
      <c r="V44" s="21"/>
      <c r="W44" s="20"/>
      <c r="X44" s="20"/>
      <c r="Y44" s="20"/>
      <c r="Z44" s="20"/>
      <c r="AA44" s="23"/>
      <c r="AC44" s="11"/>
      <c r="AD44" s="11"/>
      <c r="AE44" s="11"/>
      <c r="AF44" s="11"/>
      <c r="AG44" s="11"/>
      <c r="AH44" s="12"/>
    </row>
    <row r="45" spans="8:36" x14ac:dyDescent="0.35">
      <c r="H45" s="11"/>
      <c r="I45" s="11"/>
      <c r="J45" s="11"/>
      <c r="K45" s="11"/>
      <c r="L45" s="11"/>
      <c r="M45" s="18"/>
      <c r="N45" s="36"/>
      <c r="O45" s="36"/>
      <c r="P45" s="36"/>
      <c r="Q45" s="18"/>
      <c r="R45" s="21"/>
      <c r="S45" s="21"/>
      <c r="T45" s="21"/>
      <c r="U45" s="21"/>
      <c r="V45" s="21"/>
      <c r="W45" s="20"/>
      <c r="X45" s="20"/>
      <c r="Y45" s="20"/>
      <c r="Z45" s="20"/>
      <c r="AA45" s="23"/>
      <c r="AC45" s="11"/>
      <c r="AD45" s="11"/>
      <c r="AE45" s="11"/>
      <c r="AF45" s="11"/>
      <c r="AG45" s="11"/>
      <c r="AH45" s="12"/>
    </row>
    <row r="46" spans="8:36" x14ac:dyDescent="0.35">
      <c r="H46" s="11"/>
      <c r="I46" s="11"/>
      <c r="J46" s="11"/>
      <c r="K46" s="11"/>
      <c r="L46" s="11"/>
      <c r="M46" s="114"/>
      <c r="N46" s="11"/>
      <c r="O46" s="11"/>
      <c r="P46" s="11"/>
      <c r="Q46" s="114"/>
      <c r="R46" s="21"/>
      <c r="S46" s="21"/>
      <c r="T46" s="21"/>
      <c r="U46" s="21"/>
      <c r="V46" s="21"/>
      <c r="W46" s="20"/>
      <c r="X46" s="20"/>
      <c r="Y46" s="20"/>
      <c r="Z46" s="20"/>
      <c r="AA46" s="23"/>
      <c r="AC46" s="11"/>
      <c r="AD46" s="11"/>
      <c r="AE46" s="11"/>
      <c r="AF46" s="11"/>
      <c r="AG46" s="11"/>
      <c r="AH46" s="12"/>
    </row>
    <row r="47" spans="8:36" ht="13.9" thickBot="1" x14ac:dyDescent="0.4"/>
    <row r="48" spans="8:36" ht="14.25" thickBot="1" x14ac:dyDescent="0.45">
      <c r="M48" s="127" t="s">
        <v>48</v>
      </c>
      <c r="N48" s="128" t="s">
        <v>49</v>
      </c>
      <c r="O48" s="128" t="s">
        <v>50</v>
      </c>
      <c r="P48" s="129"/>
      <c r="Q48" s="130" t="s">
        <v>51</v>
      </c>
      <c r="V48" s="11"/>
    </row>
    <row r="49" spans="1:31" ht="15.4" thickBot="1" x14ac:dyDescent="0.45">
      <c r="B49" s="131">
        <f>1.3</f>
        <v>1.3</v>
      </c>
      <c r="C49" s="132" t="s">
        <v>10</v>
      </c>
      <c r="D49" s="133" t="s">
        <v>11</v>
      </c>
      <c r="E49" s="131"/>
      <c r="F49" s="134"/>
      <c r="G49" s="135"/>
      <c r="M49" s="136"/>
      <c r="N49" s="137"/>
      <c r="O49" s="137"/>
      <c r="P49" s="137"/>
      <c r="Q49" s="138" t="s">
        <v>52</v>
      </c>
      <c r="S49" s="139" t="s">
        <v>53</v>
      </c>
      <c r="T49" s="140"/>
      <c r="U49" s="141" t="s">
        <v>19</v>
      </c>
      <c r="V49" s="11"/>
      <c r="W49" s="142"/>
      <c r="X49" s="129" t="s">
        <v>54</v>
      </c>
      <c r="Y49" s="143"/>
      <c r="Z49" s="129"/>
      <c r="AA49" s="144"/>
      <c r="AC49" s="129"/>
      <c r="AD49" s="129" t="s">
        <v>55</v>
      </c>
      <c r="AE49" s="145"/>
    </row>
    <row r="50" spans="1:31" ht="15.4" thickBot="1" x14ac:dyDescent="0.45">
      <c r="B50" s="146">
        <v>0.85</v>
      </c>
      <c r="C50" s="147" t="s">
        <v>14</v>
      </c>
      <c r="D50" s="148"/>
      <c r="E50" s="146"/>
      <c r="F50" s="149"/>
      <c r="G50" s="150"/>
      <c r="M50" s="151" t="s">
        <v>56</v>
      </c>
      <c r="N50" s="13"/>
      <c r="O50" s="13"/>
      <c r="P50" s="13"/>
      <c r="Q50" s="14"/>
      <c r="S50" s="152"/>
      <c r="T50" s="153"/>
      <c r="U50" s="154"/>
      <c r="V50" s="11"/>
      <c r="W50" s="155"/>
      <c r="X50" s="13"/>
      <c r="Y50" s="13" t="s">
        <v>57</v>
      </c>
      <c r="Z50" s="13" t="s">
        <v>58</v>
      </c>
      <c r="AA50" s="156" t="s">
        <v>59</v>
      </c>
      <c r="AC50" s="13"/>
      <c r="AD50" s="13" t="s">
        <v>60</v>
      </c>
      <c r="AE50" s="157" t="s">
        <v>28</v>
      </c>
    </row>
    <row r="51" spans="1:31" ht="15" x14ac:dyDescent="0.4">
      <c r="B51" s="146">
        <f>B49*B50*8760</f>
        <v>9679.7999999999993</v>
      </c>
      <c r="C51" s="147" t="s">
        <v>17</v>
      </c>
      <c r="D51" s="148" t="s">
        <v>18</v>
      </c>
      <c r="E51" s="158">
        <f>B51/(50*24*0.33)</f>
        <v>24.443939393939392</v>
      </c>
      <c r="F51" s="159" t="s">
        <v>19</v>
      </c>
      <c r="G51" s="160" t="s">
        <v>61</v>
      </c>
      <c r="M51" s="14"/>
      <c r="N51" s="13"/>
      <c r="O51" s="13"/>
      <c r="P51" s="13"/>
      <c r="Q51" s="14"/>
      <c r="R51" s="11"/>
      <c r="S51" s="161" t="s">
        <v>62</v>
      </c>
      <c r="T51" s="162"/>
      <c r="U51" s="163">
        <v>750</v>
      </c>
      <c r="W51" s="155" t="s">
        <v>63</v>
      </c>
      <c r="X51" s="13" t="s">
        <v>64</v>
      </c>
      <c r="Y51" s="13">
        <v>1556</v>
      </c>
      <c r="Z51" s="26">
        <f>Y51/1.5</f>
        <v>1037.3333333333333</v>
      </c>
      <c r="AA51" s="52">
        <f>1850/1.5</f>
        <v>1233.3333333333333</v>
      </c>
      <c r="AC51" s="13" t="s">
        <v>65</v>
      </c>
      <c r="AD51" s="164">
        <v>6.1</v>
      </c>
      <c r="AE51" s="165">
        <f>AD51/1.5/100</f>
        <v>4.0666666666666663E-2</v>
      </c>
    </row>
    <row r="52" spans="1:31" ht="15.4" thickBot="1" x14ac:dyDescent="0.45">
      <c r="B52" s="166"/>
      <c r="C52" s="167"/>
      <c r="D52" s="168"/>
      <c r="E52" s="166"/>
      <c r="F52" s="169"/>
      <c r="G52" s="160"/>
      <c r="M52" s="14" t="s">
        <v>66</v>
      </c>
      <c r="N52" s="13" t="s">
        <v>67</v>
      </c>
      <c r="O52" s="13" t="s">
        <v>68</v>
      </c>
      <c r="P52" s="13"/>
      <c r="Q52" s="170">
        <v>10800000</v>
      </c>
      <c r="R52" s="11"/>
      <c r="S52" s="171" t="s">
        <v>69</v>
      </c>
      <c r="T52" s="172"/>
      <c r="U52" s="173">
        <v>820</v>
      </c>
      <c r="W52" s="155" t="s">
        <v>70</v>
      </c>
      <c r="X52" s="13" t="s">
        <v>71</v>
      </c>
      <c r="Y52" s="13">
        <v>3009</v>
      </c>
      <c r="Z52" s="26">
        <f>Y52/1.5</f>
        <v>2006</v>
      </c>
      <c r="AA52" s="174"/>
      <c r="AC52" s="13" t="s">
        <v>72</v>
      </c>
      <c r="AD52" s="164">
        <v>7</v>
      </c>
      <c r="AE52" s="165">
        <f t="shared" ref="AE52:AE67" si="0">AD52/1.5/100</f>
        <v>4.6666666666666669E-2</v>
      </c>
    </row>
    <row r="53" spans="1:31" ht="15" x14ac:dyDescent="0.4">
      <c r="A53">
        <f>B53/B70</f>
        <v>5.0384884534639608E-2</v>
      </c>
      <c r="B53" s="175">
        <f>7.2/1.5</f>
        <v>4.8</v>
      </c>
      <c r="C53" s="147" t="s">
        <v>73</v>
      </c>
      <c r="D53" s="148" t="s">
        <v>26</v>
      </c>
      <c r="E53" s="176">
        <f>B53/E51</f>
        <v>0.19636769354738737</v>
      </c>
      <c r="F53" s="177" t="s">
        <v>74</v>
      </c>
      <c r="G53" s="178">
        <f>100*E53/E70</f>
        <v>5.0384884534639607</v>
      </c>
      <c r="M53" s="14"/>
      <c r="N53" s="13"/>
      <c r="O53" s="13"/>
      <c r="P53" s="13"/>
      <c r="Q53" s="170"/>
      <c r="S53" s="171" t="s">
        <v>75</v>
      </c>
      <c r="T53" s="172"/>
      <c r="U53" s="173">
        <v>650</v>
      </c>
      <c r="W53" s="155" t="s">
        <v>76</v>
      </c>
      <c r="X53" s="13" t="s">
        <v>77</v>
      </c>
      <c r="Y53" s="13">
        <v>3382</v>
      </c>
      <c r="Z53" s="26">
        <f t="shared" ref="Z53:Z62" si="1">Y53/1.5</f>
        <v>2254.6666666666665</v>
      </c>
      <c r="AA53" s="174"/>
      <c r="AC53" s="13" t="s">
        <v>78</v>
      </c>
      <c r="AD53" s="164">
        <v>5.6</v>
      </c>
      <c r="AE53" s="165">
        <f t="shared" si="0"/>
        <v>3.7333333333333329E-2</v>
      </c>
    </row>
    <row r="54" spans="1:31" ht="15.4" thickBot="1" x14ac:dyDescent="0.45">
      <c r="B54" s="146">
        <f>B53/B51</f>
        <v>4.9587801400855392E-4</v>
      </c>
      <c r="C54" s="147"/>
      <c r="D54" s="148" t="s">
        <v>28</v>
      </c>
      <c r="E54" s="179"/>
      <c r="F54" s="169"/>
      <c r="G54" s="160"/>
      <c r="M54" s="138" t="s">
        <v>79</v>
      </c>
      <c r="N54" s="137"/>
      <c r="O54" s="137"/>
      <c r="P54" s="137"/>
      <c r="Q54" s="180">
        <f>SUM(Q52:Q53)</f>
        <v>10800000</v>
      </c>
      <c r="S54" s="171" t="s">
        <v>80</v>
      </c>
      <c r="T54" s="172"/>
      <c r="U54" s="173">
        <v>300</v>
      </c>
      <c r="W54" s="155" t="s">
        <v>78</v>
      </c>
      <c r="X54" s="13" t="s">
        <v>81</v>
      </c>
      <c r="Y54" s="13">
        <v>3860</v>
      </c>
      <c r="Z54" s="26">
        <f t="shared" si="1"/>
        <v>2573.3333333333335</v>
      </c>
      <c r="AA54" s="174">
        <v>2434</v>
      </c>
      <c r="AC54" s="13" t="s">
        <v>82</v>
      </c>
      <c r="AD54" s="164">
        <v>5</v>
      </c>
      <c r="AE54" s="165">
        <f t="shared" si="0"/>
        <v>3.3333333333333333E-2</v>
      </c>
    </row>
    <row r="55" spans="1:31" ht="15.4" thickBot="1" x14ac:dyDescent="0.45">
      <c r="A55">
        <f>B55/B70</f>
        <v>8.3974807557732675E-3</v>
      </c>
      <c r="B55" s="175">
        <f>1.2/1.5</f>
        <v>0.79999999999999993</v>
      </c>
      <c r="C55" s="147" t="s">
        <v>1</v>
      </c>
      <c r="D55" s="148" t="s">
        <v>26</v>
      </c>
      <c r="E55" s="179">
        <f>B55/E51</f>
        <v>3.2727948924564557E-2</v>
      </c>
      <c r="F55" s="181" t="s">
        <v>74</v>
      </c>
      <c r="G55" s="182">
        <f>100*E55/E70</f>
        <v>0.83974807557732667</v>
      </c>
      <c r="M55" s="14"/>
      <c r="N55" s="13"/>
      <c r="O55" s="13"/>
      <c r="Q55" s="14"/>
      <c r="S55" s="644" t="s">
        <v>83</v>
      </c>
      <c r="T55" s="645"/>
      <c r="U55" s="173">
        <v>600</v>
      </c>
      <c r="W55" s="155" t="s">
        <v>84</v>
      </c>
      <c r="X55" s="13" t="s">
        <v>81</v>
      </c>
      <c r="Y55" s="13">
        <v>5863</v>
      </c>
      <c r="Z55" s="26">
        <f t="shared" si="1"/>
        <v>3908.6666666666665</v>
      </c>
      <c r="AA55" s="174"/>
      <c r="AC55" s="13" t="s">
        <v>85</v>
      </c>
      <c r="AD55" s="164">
        <v>8.1999999999999993</v>
      </c>
      <c r="AE55" s="165">
        <f t="shared" si="0"/>
        <v>5.4666666666666662E-2</v>
      </c>
    </row>
    <row r="56" spans="1:31" ht="15.4" thickBot="1" x14ac:dyDescent="0.45">
      <c r="B56" s="146">
        <f>B55/B51</f>
        <v>8.2646335668092315E-5</v>
      </c>
      <c r="C56" s="147"/>
      <c r="D56" s="148" t="s">
        <v>28</v>
      </c>
      <c r="E56" s="179"/>
      <c r="F56" s="169"/>
      <c r="G56" s="160"/>
      <c r="M56" s="130" t="s">
        <v>86</v>
      </c>
      <c r="N56" s="128"/>
      <c r="O56" s="129"/>
      <c r="P56" s="129"/>
      <c r="Q56" s="183"/>
      <c r="S56" s="646" t="s">
        <v>87</v>
      </c>
      <c r="T56" s="647"/>
      <c r="U56" s="184">
        <v>330</v>
      </c>
      <c r="W56" s="155" t="s">
        <v>88</v>
      </c>
      <c r="X56" s="13"/>
      <c r="Y56" s="13">
        <v>4100</v>
      </c>
      <c r="Z56" s="26">
        <f t="shared" si="1"/>
        <v>2733.3333333333335</v>
      </c>
      <c r="AA56" s="174"/>
      <c r="AC56" s="13" t="s">
        <v>89</v>
      </c>
      <c r="AD56" s="164">
        <v>5</v>
      </c>
      <c r="AE56" s="165">
        <f t="shared" si="0"/>
        <v>3.3333333333333333E-2</v>
      </c>
    </row>
    <row r="57" spans="1:31" ht="15.4" thickBot="1" x14ac:dyDescent="0.45">
      <c r="A57">
        <f>B57/B70</f>
        <v>8.0475857242827159E-2</v>
      </c>
      <c r="B57" s="175">
        <f>11.5/1.5</f>
        <v>7.666666666666667</v>
      </c>
      <c r="C57" s="147" t="s">
        <v>2</v>
      </c>
      <c r="D57" s="148" t="s">
        <v>26</v>
      </c>
      <c r="E57" s="179">
        <f>B57/E51</f>
        <v>0.31364284386041036</v>
      </c>
      <c r="F57" s="181" t="s">
        <v>74</v>
      </c>
      <c r="G57" s="182">
        <f>100*E57/E70</f>
        <v>8.0475857242827153</v>
      </c>
      <c r="M57" s="14"/>
      <c r="N57" s="13"/>
      <c r="O57" s="13"/>
      <c r="P57" s="13"/>
      <c r="Q57" s="170"/>
      <c r="S57" s="648"/>
      <c r="T57" s="649"/>
      <c r="U57" s="154"/>
      <c r="W57" s="155" t="s">
        <v>90</v>
      </c>
      <c r="X57" s="13"/>
      <c r="Y57" s="13">
        <v>5000</v>
      </c>
      <c r="Z57" s="26">
        <f t="shared" si="1"/>
        <v>3333.3333333333335</v>
      </c>
      <c r="AA57" s="174"/>
      <c r="AC57" s="13" t="s">
        <v>63</v>
      </c>
      <c r="AD57" s="164">
        <v>2.9</v>
      </c>
      <c r="AE57" s="165">
        <f t="shared" si="0"/>
        <v>1.9333333333333334E-2</v>
      </c>
    </row>
    <row r="58" spans="1:31" ht="15.4" thickBot="1" x14ac:dyDescent="0.45">
      <c r="B58" s="185">
        <f>B57/B51</f>
        <v>7.9202738348588481E-4</v>
      </c>
      <c r="C58" s="147"/>
      <c r="D58" s="148" t="s">
        <v>28</v>
      </c>
      <c r="E58" s="179"/>
      <c r="F58" s="169"/>
      <c r="G58" s="160"/>
      <c r="M58" s="14" t="s">
        <v>66</v>
      </c>
      <c r="N58" s="13" t="s">
        <v>67</v>
      </c>
      <c r="O58" s="13" t="s">
        <v>91</v>
      </c>
      <c r="P58" s="13"/>
      <c r="Q58" s="170"/>
      <c r="S58" s="642" t="s">
        <v>43</v>
      </c>
      <c r="T58" s="643"/>
      <c r="U58" s="141">
        <f>SUM(U51:U56)</f>
        <v>3450</v>
      </c>
      <c r="W58" s="155" t="s">
        <v>92</v>
      </c>
      <c r="X58" s="13" t="s">
        <v>93</v>
      </c>
      <c r="Y58" s="13">
        <v>1748</v>
      </c>
      <c r="Z58" s="26">
        <f t="shared" si="1"/>
        <v>1165.3333333333333</v>
      </c>
      <c r="AA58" s="174">
        <f>1530/1.5</f>
        <v>1020</v>
      </c>
      <c r="AC58" s="13" t="s">
        <v>63</v>
      </c>
      <c r="AD58" s="164">
        <v>3.3</v>
      </c>
      <c r="AE58" s="165">
        <f t="shared" si="0"/>
        <v>2.1999999999999999E-2</v>
      </c>
    </row>
    <row r="59" spans="1:31" ht="15" x14ac:dyDescent="0.4">
      <c r="A59">
        <f>B59/B70</f>
        <v>7.3477956613016093E-2</v>
      </c>
      <c r="B59" s="175">
        <f>10.5/1.5</f>
        <v>7</v>
      </c>
      <c r="C59" s="147" t="s">
        <v>94</v>
      </c>
      <c r="D59" s="148" t="s">
        <v>26</v>
      </c>
      <c r="E59" s="186">
        <f>B59/E51</f>
        <v>0.28636955308993989</v>
      </c>
      <c r="F59" s="181" t="s">
        <v>74</v>
      </c>
      <c r="G59" s="182">
        <f>100*E59/E70</f>
        <v>7.3477956613016095</v>
      </c>
      <c r="M59" s="14" t="s">
        <v>95</v>
      </c>
      <c r="N59" s="13" t="s">
        <v>96</v>
      </c>
      <c r="O59" s="13" t="s">
        <v>97</v>
      </c>
      <c r="P59" s="13"/>
      <c r="Q59" s="170">
        <v>1800000</v>
      </c>
      <c r="W59" s="155" t="s">
        <v>92</v>
      </c>
      <c r="X59" s="13" t="s">
        <v>98</v>
      </c>
      <c r="Y59" s="13">
        <v>2302</v>
      </c>
      <c r="Z59" s="26">
        <f t="shared" si="1"/>
        <v>1534.6666666666667</v>
      </c>
      <c r="AA59" s="174"/>
      <c r="AC59" s="13" t="s">
        <v>99</v>
      </c>
      <c r="AD59" s="164">
        <v>6.3</v>
      </c>
      <c r="AE59" s="165">
        <f t="shared" si="0"/>
        <v>4.2000000000000003E-2</v>
      </c>
    </row>
    <row r="60" spans="1:31" ht="15.4" thickBot="1" x14ac:dyDescent="0.45">
      <c r="B60" s="187">
        <f>B59/B51</f>
        <v>7.2315543709580786E-4</v>
      </c>
      <c r="C60" s="147"/>
      <c r="D60" s="148" t="s">
        <v>28</v>
      </c>
      <c r="E60" s="188"/>
      <c r="F60" s="189"/>
      <c r="G60" s="190"/>
      <c r="M60" s="14" t="s">
        <v>100</v>
      </c>
      <c r="N60" s="13" t="s">
        <v>96</v>
      </c>
      <c r="O60" s="13" t="s">
        <v>101</v>
      </c>
      <c r="P60" s="13"/>
      <c r="Q60" s="170"/>
      <c r="W60" s="155" t="s">
        <v>102</v>
      </c>
      <c r="X60" s="13" t="s">
        <v>103</v>
      </c>
      <c r="Y60" s="13">
        <v>2933</v>
      </c>
      <c r="Z60" s="26">
        <f t="shared" si="1"/>
        <v>1955.3333333333333</v>
      </c>
      <c r="AA60" s="52">
        <f>2000/1.5</f>
        <v>1333.3333333333333</v>
      </c>
      <c r="AC60" s="13" t="s">
        <v>63</v>
      </c>
      <c r="AD60" s="164">
        <v>6.3</v>
      </c>
      <c r="AE60" s="165">
        <f t="shared" si="0"/>
        <v>4.2000000000000003E-2</v>
      </c>
    </row>
    <row r="61" spans="1:31" ht="15" x14ac:dyDescent="0.4">
      <c r="B61" s="191">
        <f>B53+B55+B57+B59</f>
        <v>20.266666666666666</v>
      </c>
      <c r="C61" s="192" t="s">
        <v>43</v>
      </c>
      <c r="D61" s="193" t="s">
        <v>26</v>
      </c>
      <c r="E61" s="194">
        <f>B61/E51</f>
        <v>0.82910803942230216</v>
      </c>
      <c r="F61" s="195" t="s">
        <v>74</v>
      </c>
      <c r="G61" s="178">
        <f>100*E61/E70</f>
        <v>21.273617914625611</v>
      </c>
      <c r="M61" s="14" t="s">
        <v>104</v>
      </c>
      <c r="N61" s="13" t="s">
        <v>96</v>
      </c>
      <c r="O61" s="13" t="s">
        <v>105</v>
      </c>
      <c r="P61" s="13"/>
      <c r="Q61" s="170">
        <v>4200000</v>
      </c>
      <c r="W61" s="155" t="s">
        <v>106</v>
      </c>
      <c r="X61" s="13" t="s">
        <v>107</v>
      </c>
      <c r="Y61" s="13">
        <v>2970</v>
      </c>
      <c r="Z61" s="26">
        <f t="shared" si="1"/>
        <v>1980</v>
      </c>
      <c r="AA61" s="174">
        <f>3582/1.5</f>
        <v>2388</v>
      </c>
      <c r="AC61" s="13" t="s">
        <v>84</v>
      </c>
      <c r="AD61" s="164">
        <v>5.5</v>
      </c>
      <c r="AE61" s="165">
        <f t="shared" si="0"/>
        <v>3.6666666666666667E-2</v>
      </c>
    </row>
    <row r="62" spans="1:31" ht="15.4" thickBot="1" x14ac:dyDescent="0.45">
      <c r="B62" s="196">
        <f>B61/B51</f>
        <v>2.0937071702583389E-3</v>
      </c>
      <c r="C62" s="197"/>
      <c r="D62" s="198" t="s">
        <v>28</v>
      </c>
      <c r="E62" s="188"/>
      <c r="F62" s="189"/>
      <c r="G62" s="190"/>
      <c r="M62" s="14"/>
      <c r="N62" s="13"/>
      <c r="O62" s="13"/>
      <c r="P62" s="13"/>
      <c r="Q62" s="170"/>
      <c r="W62" s="199" t="s">
        <v>108</v>
      </c>
      <c r="X62" s="137" t="s">
        <v>81</v>
      </c>
      <c r="Y62" s="137">
        <v>4724</v>
      </c>
      <c r="Z62" s="200">
        <f t="shared" si="1"/>
        <v>3149.3333333333335</v>
      </c>
      <c r="AA62" s="201"/>
      <c r="AC62" s="13" t="s">
        <v>84</v>
      </c>
      <c r="AD62" s="164">
        <v>7.8</v>
      </c>
      <c r="AE62" s="165">
        <f t="shared" si="0"/>
        <v>5.2000000000000005E-2</v>
      </c>
    </row>
    <row r="63" spans="1:31" ht="15.4" thickBot="1" x14ac:dyDescent="0.45">
      <c r="B63" s="166"/>
      <c r="C63" s="167"/>
      <c r="D63" s="168"/>
      <c r="E63" s="179"/>
      <c r="F63" s="169"/>
      <c r="G63" s="160"/>
      <c r="M63" s="138" t="s">
        <v>43</v>
      </c>
      <c r="N63" s="137"/>
      <c r="O63" s="137"/>
      <c r="P63" s="137"/>
      <c r="Q63" s="180">
        <f>SUM(Q58:Q61)</f>
        <v>6000000</v>
      </c>
      <c r="AC63" s="13" t="s">
        <v>92</v>
      </c>
      <c r="AD63" s="164">
        <v>3</v>
      </c>
      <c r="AE63" s="165">
        <f t="shared" si="0"/>
        <v>0.02</v>
      </c>
    </row>
    <row r="64" spans="1:31" ht="15.4" thickBot="1" x14ac:dyDescent="0.45">
      <c r="B64" s="146">
        <v>3000</v>
      </c>
      <c r="C64" s="147" t="s">
        <v>109</v>
      </c>
      <c r="D64" s="148" t="s">
        <v>110</v>
      </c>
      <c r="E64" s="179"/>
      <c r="F64" s="169"/>
      <c r="G64" s="160"/>
      <c r="M64" s="14"/>
      <c r="N64" s="13"/>
      <c r="O64" s="13"/>
      <c r="Q64" s="170"/>
      <c r="S64" s="202" t="s">
        <v>111</v>
      </c>
      <c r="T64" s="145" t="s">
        <v>28</v>
      </c>
      <c r="AC64" s="13" t="s">
        <v>92</v>
      </c>
      <c r="AD64" s="164">
        <v>3.6</v>
      </c>
      <c r="AE64" s="165">
        <f t="shared" si="0"/>
        <v>2.4E-2</v>
      </c>
    </row>
    <row r="65" spans="2:31" ht="15.4" thickBot="1" x14ac:dyDescent="0.45">
      <c r="B65" s="146">
        <v>40</v>
      </c>
      <c r="C65" s="147" t="s">
        <v>112</v>
      </c>
      <c r="D65" s="148"/>
      <c r="E65" s="179"/>
      <c r="F65" s="169"/>
      <c r="G65" s="160"/>
      <c r="M65" s="203" t="s">
        <v>43</v>
      </c>
      <c r="N65" s="204"/>
      <c r="O65" s="204"/>
      <c r="P65" s="204"/>
      <c r="Q65" s="205">
        <f>Q54+Q63</f>
        <v>16800000</v>
      </c>
      <c r="S65" s="155" t="s">
        <v>113</v>
      </c>
      <c r="T65" s="206">
        <v>3.7999999999999999E-2</v>
      </c>
      <c r="AC65" s="13" t="s">
        <v>102</v>
      </c>
      <c r="AD65" s="164">
        <v>4.3</v>
      </c>
      <c r="AE65" s="165">
        <f t="shared" si="0"/>
        <v>2.8666666666666667E-2</v>
      </c>
    </row>
    <row r="66" spans="2:31" ht="15.4" thickBot="1" x14ac:dyDescent="0.45">
      <c r="B66" s="175">
        <v>1875</v>
      </c>
      <c r="C66" s="147" t="s">
        <v>114</v>
      </c>
      <c r="D66" s="148" t="s">
        <v>115</v>
      </c>
      <c r="E66" s="179"/>
      <c r="F66" s="169"/>
      <c r="G66" s="160"/>
      <c r="S66" s="155" t="s">
        <v>116</v>
      </c>
      <c r="T66" s="207">
        <v>0.01</v>
      </c>
      <c r="AC66" s="13" t="s">
        <v>117</v>
      </c>
      <c r="AD66" s="164">
        <v>4.8</v>
      </c>
      <c r="AE66" s="165">
        <f t="shared" si="0"/>
        <v>3.2000000000000001E-2</v>
      </c>
    </row>
    <row r="67" spans="2:31" ht="15.4" thickBot="1" x14ac:dyDescent="0.45">
      <c r="B67" s="191">
        <f>B64/B65</f>
        <v>75</v>
      </c>
      <c r="C67" s="192" t="s">
        <v>118</v>
      </c>
      <c r="D67" s="193" t="s">
        <v>26</v>
      </c>
      <c r="E67" s="194">
        <f>B67/E51</f>
        <v>3.0682452116779273</v>
      </c>
      <c r="F67" s="195" t="s">
        <v>74</v>
      </c>
      <c r="G67" s="178">
        <f>100*E67/E70</f>
        <v>78.726382085374382</v>
      </c>
      <c r="S67" s="155" t="s">
        <v>119</v>
      </c>
      <c r="T67" s="206">
        <v>1.2E-2</v>
      </c>
      <c r="AC67" s="137" t="s">
        <v>108</v>
      </c>
      <c r="AD67" s="208">
        <v>6</v>
      </c>
      <c r="AE67" s="209">
        <f t="shared" si="0"/>
        <v>0.04</v>
      </c>
    </row>
    <row r="68" spans="2:31" ht="15.4" thickBot="1" x14ac:dyDescent="0.45">
      <c r="B68" s="196">
        <f>B64/B65/B51</f>
        <v>7.7480939688836549E-3</v>
      </c>
      <c r="C68" s="197"/>
      <c r="D68" s="198" t="s">
        <v>28</v>
      </c>
      <c r="E68" s="188"/>
      <c r="F68" s="189"/>
      <c r="G68" s="190"/>
      <c r="S68" s="155"/>
      <c r="T68" s="206"/>
    </row>
    <row r="69" spans="2:31" ht="15.4" thickBot="1" x14ac:dyDescent="0.45">
      <c r="B69" s="166"/>
      <c r="C69" s="167"/>
      <c r="D69" s="168"/>
      <c r="E69" s="179"/>
      <c r="F69" s="169"/>
      <c r="G69" s="160"/>
      <c r="S69" s="199" t="s">
        <v>43</v>
      </c>
      <c r="T69" s="210">
        <f>SUM(T65:T68)</f>
        <v>0.06</v>
      </c>
    </row>
    <row r="70" spans="2:31" ht="15" x14ac:dyDescent="0.4">
      <c r="B70" s="191">
        <f>B67+B61</f>
        <v>95.266666666666666</v>
      </c>
      <c r="C70" s="192" t="s">
        <v>120</v>
      </c>
      <c r="D70" s="193" t="s">
        <v>26</v>
      </c>
      <c r="E70" s="211">
        <f>B70/E51</f>
        <v>3.8973532511002298</v>
      </c>
      <c r="F70" s="212" t="s">
        <v>74</v>
      </c>
      <c r="G70" s="182">
        <v>100</v>
      </c>
    </row>
    <row r="71" spans="2:31" ht="15.4" thickBot="1" x14ac:dyDescent="0.45">
      <c r="B71" s="213">
        <f>B70/B51</f>
        <v>9.8418011391419938E-3</v>
      </c>
      <c r="C71" s="197" t="s">
        <v>120</v>
      </c>
      <c r="D71" s="214" t="s">
        <v>28</v>
      </c>
      <c r="E71" s="215"/>
      <c r="F71" s="189"/>
      <c r="G71" s="216"/>
    </row>
    <row r="72" spans="2:31" x14ac:dyDescent="0.35">
      <c r="AB72" s="11" t="s">
        <v>121</v>
      </c>
    </row>
  </sheetData>
  <mergeCells count="9">
    <mergeCell ref="B23:C23"/>
    <mergeCell ref="B24:C24"/>
    <mergeCell ref="B25:C25"/>
    <mergeCell ref="B26:C26"/>
    <mergeCell ref="S58:T58"/>
    <mergeCell ref="B27:C27"/>
    <mergeCell ref="S55:T55"/>
    <mergeCell ref="S56:T56"/>
    <mergeCell ref="S57:T57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Q124"/>
  <sheetViews>
    <sheetView zoomScale="70" zoomScaleNormal="70" workbookViewId="0">
      <selection activeCell="AL57" sqref="AL57"/>
    </sheetView>
  </sheetViews>
  <sheetFormatPr defaultRowHeight="16.5" customHeight="1" x14ac:dyDescent="0.4"/>
  <cols>
    <col min="1" max="1" width="4.1328125" customWidth="1"/>
    <col min="2" max="2" width="13.265625" style="1" customWidth="1"/>
    <col min="3" max="3" width="12.3984375" style="1" bestFit="1" customWidth="1"/>
    <col min="6" max="6" width="7.86328125" customWidth="1"/>
    <col min="7" max="7" width="9" customWidth="1"/>
    <col min="8" max="8" width="9.59765625" bestFit="1" customWidth="1"/>
    <col min="9" max="9" width="9.59765625" customWidth="1"/>
    <col min="11" max="11" width="10.265625" customWidth="1"/>
    <col min="12" max="12" width="10.3984375" customWidth="1"/>
    <col min="13" max="13" width="9.59765625" bestFit="1" customWidth="1"/>
    <col min="14" max="14" width="9.59765625" customWidth="1"/>
    <col min="15" max="15" width="10.3984375" bestFit="1" customWidth="1"/>
    <col min="16" max="16" width="9.73046875" style="9" bestFit="1" customWidth="1"/>
    <col min="17" max="17" width="11" style="9" customWidth="1"/>
    <col min="18" max="21" width="9.59765625" customWidth="1"/>
    <col min="22" max="23" width="9.73046875" bestFit="1" customWidth="1"/>
    <col min="24" max="24" width="9.59765625" customWidth="1"/>
    <col min="25" max="25" width="12.1328125" bestFit="1" customWidth="1"/>
    <col min="26" max="26" width="9.73046875" style="9" bestFit="1" customWidth="1"/>
    <col min="27" max="27" width="9.265625" style="9" bestFit="1" customWidth="1"/>
    <col min="28" max="28" width="9.59765625" bestFit="1" customWidth="1"/>
    <col min="29" max="29" width="9.59765625" customWidth="1"/>
    <col min="30" max="30" width="10.3984375" bestFit="1" customWidth="1"/>
    <col min="31" max="31" width="9.59765625" bestFit="1" customWidth="1"/>
    <col min="32" max="32" width="9.265625" bestFit="1" customWidth="1"/>
    <col min="36" max="36" width="9.265625" bestFit="1" customWidth="1"/>
  </cols>
  <sheetData>
    <row r="2" spans="2:42" ht="28.5" customHeight="1" x14ac:dyDescent="0.5">
      <c r="B2" s="739" t="s">
        <v>122</v>
      </c>
      <c r="C2" s="739"/>
      <c r="D2" s="739"/>
      <c r="E2" s="739"/>
      <c r="F2" s="739"/>
      <c r="G2" s="739"/>
    </row>
    <row r="5" spans="2:42" ht="16.5" customHeight="1" thickBot="1" x14ac:dyDescent="0.45"/>
    <row r="6" spans="2:42" ht="16.5" customHeight="1" x14ac:dyDescent="0.6">
      <c r="B6" s="217"/>
      <c r="C6" s="128"/>
      <c r="D6" s="129"/>
      <c r="E6" s="129"/>
      <c r="F6" s="218" t="s">
        <v>123</v>
      </c>
      <c r="G6" s="219"/>
      <c r="H6" s="220"/>
      <c r="I6" s="221"/>
      <c r="J6" s="129"/>
      <c r="K6" s="129"/>
      <c r="L6" s="129"/>
      <c r="M6" s="740" t="s">
        <v>124</v>
      </c>
      <c r="N6" s="740"/>
      <c r="O6" s="740"/>
      <c r="P6" s="222"/>
      <c r="Q6" s="14"/>
      <c r="R6" s="223" t="s">
        <v>124</v>
      </c>
      <c r="S6" s="224"/>
      <c r="T6" s="223" t="s">
        <v>125</v>
      </c>
      <c r="U6" s="13"/>
      <c r="V6" s="225"/>
      <c r="W6" s="738" t="s">
        <v>125</v>
      </c>
      <c r="X6" s="738"/>
      <c r="Y6" s="738"/>
      <c r="Z6" s="226"/>
      <c r="AA6" s="226"/>
      <c r="AB6" s="738" t="s">
        <v>125</v>
      </c>
      <c r="AC6" s="738"/>
      <c r="AD6" s="738"/>
    </row>
    <row r="7" spans="2:42" ht="16.5" customHeight="1" thickBot="1" x14ac:dyDescent="0.45">
      <c r="B7" s="227"/>
      <c r="C7" s="228"/>
      <c r="D7" s="13"/>
      <c r="E7" s="13"/>
      <c r="F7" s="229" t="s">
        <v>126</v>
      </c>
      <c r="G7" s="230"/>
      <c r="H7" s="231"/>
      <c r="I7" s="36"/>
      <c r="J7" s="13"/>
      <c r="K7" s="13"/>
      <c r="L7" s="13"/>
      <c r="M7" s="13"/>
      <c r="N7" s="13"/>
      <c r="O7" s="11"/>
      <c r="P7" s="232"/>
      <c r="Q7" s="114"/>
      <c r="R7" s="11"/>
      <c r="S7" s="11"/>
      <c r="T7" s="11"/>
      <c r="U7" s="11"/>
      <c r="V7" s="11"/>
      <c r="Y7" s="11"/>
      <c r="Z7" s="114"/>
      <c r="AA7" s="114"/>
      <c r="AB7" s="12"/>
      <c r="AC7" s="12"/>
    </row>
    <row r="8" spans="2:42" ht="16.5" customHeight="1" thickBot="1" x14ac:dyDescent="0.45">
      <c r="B8" s="227"/>
      <c r="C8" s="228"/>
      <c r="D8" s="13"/>
      <c r="E8" s="13"/>
      <c r="F8" s="13"/>
      <c r="G8" s="13"/>
      <c r="H8" s="13"/>
      <c r="I8" s="13"/>
      <c r="J8" s="13"/>
      <c r="K8" s="233"/>
      <c r="L8" s="234"/>
      <c r="M8" s="13"/>
      <c r="N8" s="13"/>
      <c r="O8" s="13"/>
      <c r="P8" s="235"/>
      <c r="Q8" s="14"/>
      <c r="R8" s="13"/>
      <c r="S8" s="13"/>
      <c r="T8" s="13"/>
      <c r="U8" s="13"/>
    </row>
    <row r="9" spans="2:42" ht="16.5" customHeight="1" thickBot="1" x14ac:dyDescent="0.45">
      <c r="B9" s="741" t="s">
        <v>127</v>
      </c>
      <c r="C9" s="742"/>
      <c r="D9" s="13"/>
      <c r="E9" s="13"/>
      <c r="F9" s="36"/>
      <c r="G9" s="36"/>
      <c r="H9" s="743" t="s">
        <v>127</v>
      </c>
      <c r="I9" s="743"/>
      <c r="J9" s="743"/>
      <c r="K9" s="36"/>
      <c r="L9" s="36"/>
      <c r="M9" s="743" t="s">
        <v>127</v>
      </c>
      <c r="N9" s="743"/>
      <c r="O9" s="743"/>
      <c r="P9" s="236"/>
      <c r="Q9" s="237"/>
      <c r="R9" s="744" t="s">
        <v>127</v>
      </c>
      <c r="S9" s="744"/>
      <c r="T9" s="744"/>
      <c r="U9" s="36"/>
      <c r="V9" s="36"/>
      <c r="W9" s="745" t="s">
        <v>127</v>
      </c>
      <c r="X9" s="745"/>
      <c r="Y9" s="745"/>
      <c r="Z9" s="237"/>
      <c r="AA9" s="238"/>
      <c r="AB9" s="679" t="s">
        <v>128</v>
      </c>
      <c r="AC9" s="679"/>
      <c r="AD9" s="679"/>
      <c r="AE9" s="239"/>
      <c r="AF9" s="10"/>
      <c r="AG9" s="728" t="s">
        <v>104</v>
      </c>
      <c r="AH9" s="728"/>
      <c r="AI9" s="728"/>
      <c r="AJ9" s="10"/>
    </row>
    <row r="10" spans="2:42" ht="16.5" customHeight="1" thickBot="1" x14ac:dyDescent="0.45">
      <c r="B10" s="227"/>
      <c r="C10" s="228"/>
      <c r="D10" s="13"/>
      <c r="E10" s="13"/>
      <c r="F10" s="659" t="s">
        <v>129</v>
      </c>
      <c r="G10" s="659"/>
      <c r="H10" s="13"/>
      <c r="I10" s="13"/>
      <c r="J10" s="13"/>
      <c r="K10" s="649" t="s">
        <v>129</v>
      </c>
      <c r="L10" s="649"/>
      <c r="M10" s="240"/>
      <c r="N10" s="240"/>
      <c r="O10" s="240"/>
      <c r="P10" s="206" t="s">
        <v>130</v>
      </c>
      <c r="Q10" s="241"/>
      <c r="U10" s="661" t="s">
        <v>130</v>
      </c>
      <c r="V10" s="661"/>
      <c r="W10" s="661" t="s">
        <v>131</v>
      </c>
      <c r="X10" s="661"/>
      <c r="Y10" s="661"/>
      <c r="Z10" s="661"/>
      <c r="AA10" s="661"/>
      <c r="AE10" s="119" t="s">
        <v>132</v>
      </c>
      <c r="AF10" s="119"/>
      <c r="AG10" s="661" t="s">
        <v>133</v>
      </c>
      <c r="AH10" s="661"/>
      <c r="AI10" s="661"/>
    </row>
    <row r="11" spans="2:42" ht="16.5" customHeight="1" thickBot="1" x14ac:dyDescent="0.45">
      <c r="B11" s="242" t="s">
        <v>134</v>
      </c>
      <c r="C11" s="243">
        <f>'[3]NUC resources'!M5</f>
        <v>208427</v>
      </c>
      <c r="D11" s="13"/>
      <c r="E11" s="13"/>
      <c r="F11" s="13"/>
      <c r="G11" s="13"/>
      <c r="H11" s="244">
        <f>'[3]NUC primary production'!H5</f>
        <v>15500</v>
      </c>
      <c r="I11" s="13"/>
      <c r="J11" s="245"/>
      <c r="K11" s="13"/>
      <c r="L11" s="13"/>
      <c r="M11" s="137">
        <v>11729</v>
      </c>
      <c r="N11" s="13"/>
      <c r="O11" s="245">
        <v>3800</v>
      </c>
      <c r="P11" s="235"/>
      <c r="R11">
        <v>11729</v>
      </c>
      <c r="U11" s="13"/>
      <c r="AB11">
        <v>10500</v>
      </c>
      <c r="AD11" s="246">
        <v>7200</v>
      </c>
    </row>
    <row r="12" spans="2:42" ht="16.5" customHeight="1" thickBot="1" x14ac:dyDescent="0.45">
      <c r="B12" s="247" t="s">
        <v>135</v>
      </c>
      <c r="C12" s="248">
        <f>'[3]NUC resources'!N5</f>
        <v>125280</v>
      </c>
      <c r="D12" s="13"/>
      <c r="E12" s="13"/>
      <c r="F12" s="137"/>
      <c r="G12" s="249"/>
      <c r="H12" s="732" t="s">
        <v>136</v>
      </c>
      <c r="I12" s="733"/>
      <c r="J12" s="734"/>
      <c r="K12" s="250">
        <f>'[3]NUC primary production'!Q5</f>
        <v>11729</v>
      </c>
      <c r="L12" s="249">
        <f>K12</f>
        <v>11729</v>
      </c>
      <c r="M12" s="732" t="s">
        <v>137</v>
      </c>
      <c r="N12" s="733"/>
      <c r="O12" s="734"/>
      <c r="P12" s="251">
        <f>Q24+Q12</f>
        <v>11729</v>
      </c>
      <c r="Q12" s="138">
        <f>U12</f>
        <v>0</v>
      </c>
      <c r="R12" s="686" t="s">
        <v>138</v>
      </c>
      <c r="S12" s="687"/>
      <c r="T12" s="688"/>
      <c r="U12" s="137">
        <f>V12</f>
        <v>0</v>
      </c>
      <c r="V12" s="249">
        <f>Z12</f>
        <v>0</v>
      </c>
      <c r="W12" s="252"/>
      <c r="X12" s="221"/>
      <c r="Y12" s="220"/>
      <c r="Z12" s="138">
        <f>AA12</f>
        <v>0</v>
      </c>
      <c r="AA12" s="138">
        <f>AE12</f>
        <v>0</v>
      </c>
      <c r="AB12" s="669" t="s">
        <v>139</v>
      </c>
      <c r="AC12" s="670"/>
      <c r="AD12" s="671"/>
      <c r="AE12" s="199">
        <f>AF12</f>
        <v>0</v>
      </c>
      <c r="AF12" s="137">
        <f>AJ12</f>
        <v>0</v>
      </c>
      <c r="AG12" s="253"/>
      <c r="AH12" s="254"/>
      <c r="AI12" s="255"/>
      <c r="AJ12" s="199">
        <v>0</v>
      </c>
    </row>
    <row r="13" spans="2:42" ht="16.5" customHeight="1" thickBot="1" x14ac:dyDescent="0.45">
      <c r="B13" s="256" t="s">
        <v>140</v>
      </c>
      <c r="C13" s="257">
        <f>'[3]NUC resources'!O5</f>
        <v>143610</v>
      </c>
      <c r="D13" s="13"/>
      <c r="E13" s="13"/>
      <c r="F13" s="13"/>
      <c r="G13" s="13"/>
      <c r="H13" s="735"/>
      <c r="I13" s="736"/>
      <c r="J13" s="737"/>
      <c r="K13" s="13"/>
      <c r="L13" s="13"/>
      <c r="M13" s="735"/>
      <c r="N13" s="736"/>
      <c r="O13" s="737"/>
      <c r="P13" s="235"/>
      <c r="Q13" s="14"/>
      <c r="R13" s="689"/>
      <c r="S13" s="690"/>
      <c r="T13" s="691"/>
      <c r="U13" s="13"/>
      <c r="W13" s="258"/>
      <c r="X13" s="259"/>
      <c r="Y13" s="231"/>
      <c r="AA13" s="14"/>
      <c r="AB13" s="672"/>
      <c r="AC13" s="673"/>
      <c r="AD13" s="674"/>
      <c r="AG13" s="260"/>
      <c r="AH13" s="261"/>
      <c r="AI13" s="262"/>
    </row>
    <row r="14" spans="2:42" ht="16.5" customHeight="1" x14ac:dyDescent="0.4">
      <c r="B14" s="227" t="s">
        <v>141</v>
      </c>
      <c r="C14" s="263">
        <f>'[3]NUC resources'!P5</f>
        <v>444000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35"/>
      <c r="Q14" s="14"/>
      <c r="U14" s="13"/>
      <c r="AA14" s="14"/>
    </row>
    <row r="15" spans="2:42" ht="16.5" customHeight="1" x14ac:dyDescent="0.4">
      <c r="B15" s="227"/>
      <c r="C15" s="228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32"/>
      <c r="Q15" s="114"/>
      <c r="R15" s="11"/>
      <c r="S15" s="11"/>
      <c r="T15" s="11"/>
      <c r="U15" s="11"/>
      <c r="V15" s="11"/>
      <c r="W15" s="11"/>
      <c r="X15" s="11"/>
      <c r="Y15" s="11"/>
      <c r="Z15" s="114"/>
      <c r="AA15" s="114"/>
    </row>
    <row r="16" spans="2:42" ht="16.5" customHeight="1" thickBot="1" x14ac:dyDescent="0.45">
      <c r="B16" s="264"/>
      <c r="C16" s="265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266"/>
      <c r="P16" s="267"/>
      <c r="Q16" s="114"/>
      <c r="R16" s="11"/>
      <c r="S16" s="11"/>
      <c r="T16" s="11"/>
      <c r="U16" s="11"/>
      <c r="V16" s="12"/>
      <c r="Y16" s="12"/>
      <c r="Z16" s="226"/>
      <c r="AA16" s="226"/>
      <c r="AB16" s="12"/>
      <c r="AC16" s="12"/>
      <c r="AL16" s="12"/>
      <c r="AM16" s="12"/>
      <c r="AN16" s="12"/>
      <c r="AO16" s="12"/>
      <c r="AP16" s="12"/>
    </row>
    <row r="17" spans="2:43" ht="16.5" customHeight="1" x14ac:dyDescent="0.4">
      <c r="X17" s="660"/>
      <c r="Y17" s="660"/>
      <c r="Z17" s="660"/>
      <c r="AA17"/>
      <c r="AB17" s="9"/>
      <c r="AC17" s="9"/>
    </row>
    <row r="18" spans="2:43" ht="16.5" customHeight="1" x14ac:dyDescent="0.6">
      <c r="B18" s="268"/>
      <c r="C18" s="269"/>
      <c r="D18" s="269"/>
      <c r="E18" s="269"/>
      <c r="F18" s="270" t="s">
        <v>142</v>
      </c>
      <c r="G18" s="271"/>
      <c r="H18" s="272"/>
      <c r="I18" s="273"/>
      <c r="J18" s="269"/>
      <c r="K18" s="269"/>
      <c r="L18" s="269"/>
      <c r="M18" s="738" t="s">
        <v>124</v>
      </c>
      <c r="N18" s="738"/>
      <c r="O18" s="738"/>
      <c r="P18" s="274"/>
      <c r="Q18" s="14"/>
      <c r="R18" s="738" t="s">
        <v>124</v>
      </c>
      <c r="S18" s="738"/>
      <c r="T18" s="738"/>
      <c r="U18" s="13"/>
      <c r="V18" s="11"/>
      <c r="W18" s="738" t="s">
        <v>124</v>
      </c>
      <c r="X18" s="738"/>
      <c r="Y18" s="738"/>
      <c r="AB18" s="738" t="s">
        <v>124</v>
      </c>
      <c r="AC18" s="738"/>
      <c r="AD18" s="738"/>
    </row>
    <row r="19" spans="2:43" ht="16.5" customHeight="1" thickBot="1" x14ac:dyDescent="0.45">
      <c r="B19" s="275"/>
      <c r="C19" s="276"/>
      <c r="D19" s="276"/>
      <c r="E19" s="276"/>
      <c r="F19" s="277" t="s">
        <v>126</v>
      </c>
      <c r="G19" s="278"/>
      <c r="H19" s="279"/>
      <c r="I19" s="280"/>
      <c r="J19" s="276"/>
      <c r="K19" s="276"/>
      <c r="L19" s="276"/>
      <c r="M19" s="276"/>
      <c r="N19" s="276"/>
      <c r="O19" s="281"/>
      <c r="P19" s="282"/>
      <c r="Q19" s="114"/>
      <c r="R19" s="11"/>
      <c r="S19" s="11"/>
      <c r="T19" s="11"/>
      <c r="U19" s="11"/>
      <c r="V19" s="11"/>
      <c r="W19" s="12"/>
      <c r="X19" s="12"/>
    </row>
    <row r="20" spans="2:43" ht="16.5" customHeight="1" x14ac:dyDescent="0.35">
      <c r="B20" s="275"/>
      <c r="C20" s="276"/>
      <c r="D20" s="276"/>
      <c r="E20" s="276"/>
      <c r="F20" s="276"/>
      <c r="G20" s="276"/>
      <c r="H20" s="276"/>
      <c r="I20" s="276"/>
      <c r="J20" s="276"/>
      <c r="K20" s="283"/>
      <c r="L20" s="284"/>
      <c r="M20" s="276"/>
      <c r="N20" s="276"/>
      <c r="O20" s="276"/>
      <c r="P20" s="285"/>
      <c r="Q20" s="14"/>
      <c r="R20" s="13"/>
      <c r="S20" s="13"/>
      <c r="T20" s="13"/>
      <c r="U20" s="13"/>
    </row>
    <row r="21" spans="2:43" ht="16.5" customHeight="1" thickBot="1" x14ac:dyDescent="0.45">
      <c r="B21" s="275"/>
      <c r="C21" s="276"/>
      <c r="D21" s="276"/>
      <c r="E21" s="276"/>
      <c r="F21" s="280"/>
      <c r="G21" s="280"/>
      <c r="H21" s="727" t="s">
        <v>127</v>
      </c>
      <c r="I21" s="727"/>
      <c r="J21" s="727"/>
      <c r="K21" s="280"/>
      <c r="L21" s="280"/>
      <c r="M21" s="727" t="s">
        <v>127</v>
      </c>
      <c r="N21" s="727"/>
      <c r="O21" s="727"/>
      <c r="P21" s="286"/>
      <c r="Q21" s="18"/>
      <c r="R21" s="36"/>
      <c r="S21" s="36"/>
      <c r="T21" s="36"/>
      <c r="U21" s="36"/>
      <c r="V21" s="239"/>
      <c r="W21" s="679" t="s">
        <v>128</v>
      </c>
      <c r="X21" s="679"/>
      <c r="Y21" s="679"/>
      <c r="Z21" s="238"/>
      <c r="AA21" s="287"/>
      <c r="AB21" s="728" t="s">
        <v>104</v>
      </c>
      <c r="AC21" s="728"/>
      <c r="AD21" s="728"/>
      <c r="AE21" s="10"/>
      <c r="AK21" s="288" t="s">
        <v>143</v>
      </c>
      <c r="AL21" s="239"/>
      <c r="AM21" s="239"/>
      <c r="AN21" s="239"/>
      <c r="AO21" s="239"/>
      <c r="AP21" s="239"/>
      <c r="AQ21" s="239"/>
    </row>
    <row r="22" spans="2:43" ht="16.5" customHeight="1" thickBot="1" x14ac:dyDescent="0.45">
      <c r="B22" s="729" t="s">
        <v>127</v>
      </c>
      <c r="C22" s="730"/>
      <c r="D22" s="276"/>
      <c r="E22" s="276"/>
      <c r="F22" s="659" t="s">
        <v>129</v>
      </c>
      <c r="G22" s="659"/>
      <c r="H22" s="276"/>
      <c r="I22" s="276"/>
      <c r="J22" s="276"/>
      <c r="K22" s="731" t="s">
        <v>129</v>
      </c>
      <c r="L22" s="731"/>
      <c r="M22" s="289"/>
      <c r="N22" s="289"/>
      <c r="O22" s="289"/>
      <c r="P22" s="290" t="s">
        <v>130</v>
      </c>
      <c r="Q22" s="240"/>
      <c r="R22" s="660" t="s">
        <v>131</v>
      </c>
      <c r="S22" s="660"/>
      <c r="T22" s="660"/>
      <c r="U22" s="14"/>
      <c r="V22" s="241"/>
      <c r="Z22" s="661"/>
      <c r="AA22" s="661"/>
      <c r="AB22" s="661" t="s">
        <v>133</v>
      </c>
      <c r="AC22" s="661"/>
      <c r="AD22" s="661"/>
    </row>
    <row r="23" spans="2:43" ht="16.5" customHeight="1" thickBot="1" x14ac:dyDescent="0.45">
      <c r="B23" s="275"/>
      <c r="C23" s="276"/>
      <c r="D23" s="276"/>
      <c r="E23" s="276"/>
      <c r="F23" s="276"/>
      <c r="G23" s="276"/>
      <c r="H23" s="291">
        <f>'[3]NUC primary production'!H5</f>
        <v>15500</v>
      </c>
      <c r="I23" s="276"/>
      <c r="J23" s="292"/>
      <c r="K23" s="276"/>
      <c r="L23" s="276"/>
      <c r="M23" s="276">
        <v>11729</v>
      </c>
      <c r="N23" s="276"/>
      <c r="O23" s="292">
        <v>3800</v>
      </c>
      <c r="P23" s="285"/>
      <c r="Q23" s="14"/>
      <c r="R23" s="13">
        <v>11729</v>
      </c>
      <c r="S23" s="13"/>
      <c r="T23" s="13"/>
      <c r="U23" s="13"/>
      <c r="W23">
        <v>11729</v>
      </c>
      <c r="Y23" s="246">
        <v>7200</v>
      </c>
      <c r="AK23" s="293" t="s">
        <v>144</v>
      </c>
      <c r="AL23" s="294"/>
      <c r="AM23" s="294"/>
      <c r="AN23" s="294"/>
      <c r="AO23" s="294"/>
      <c r="AP23" s="294"/>
      <c r="AQ23" s="294"/>
    </row>
    <row r="24" spans="2:43" ht="16.5" customHeight="1" thickBot="1" x14ac:dyDescent="0.4">
      <c r="B24" s="295" t="s">
        <v>134</v>
      </c>
      <c r="C24" s="296">
        <v>208427</v>
      </c>
      <c r="D24" s="276"/>
      <c r="E24" s="276"/>
      <c r="F24" s="297"/>
      <c r="G24" s="297"/>
      <c r="H24" s="715" t="s">
        <v>136</v>
      </c>
      <c r="I24" s="716"/>
      <c r="J24" s="717"/>
      <c r="K24" s="297">
        <f>'[3]NUC primary production'!Q5</f>
        <v>11729</v>
      </c>
      <c r="L24" s="297">
        <f>K24</f>
        <v>11729</v>
      </c>
      <c r="M24" s="715" t="s">
        <v>145</v>
      </c>
      <c r="N24" s="716"/>
      <c r="O24" s="717"/>
      <c r="P24" s="298"/>
      <c r="Q24" s="138">
        <f>U24</f>
        <v>11729</v>
      </c>
      <c r="R24" s="252"/>
      <c r="S24" s="221"/>
      <c r="T24" s="220"/>
      <c r="U24" s="199">
        <f>V24</f>
        <v>11729</v>
      </c>
      <c r="V24" s="137">
        <f>Z24</f>
        <v>11729</v>
      </c>
      <c r="W24" s="669" t="s">
        <v>146</v>
      </c>
      <c r="X24" s="670"/>
      <c r="Y24" s="671"/>
      <c r="Z24" s="136">
        <f>AA24</f>
        <v>11729</v>
      </c>
      <c r="AA24" s="138">
        <f>AE24</f>
        <v>11729</v>
      </c>
      <c r="AB24" s="721"/>
      <c r="AC24" s="722"/>
      <c r="AD24" s="723"/>
      <c r="AE24" s="199">
        <v>11729</v>
      </c>
      <c r="AF24" s="137"/>
      <c r="AG24" s="13"/>
      <c r="AH24" s="13"/>
      <c r="AI24" s="13"/>
      <c r="AJ24" s="13"/>
    </row>
    <row r="25" spans="2:43" ht="16.5" customHeight="1" thickBot="1" x14ac:dyDescent="0.4">
      <c r="B25" s="299" t="s">
        <v>135</v>
      </c>
      <c r="C25" s="300">
        <v>125280</v>
      </c>
      <c r="D25" s="276"/>
      <c r="E25" s="276"/>
      <c r="F25" s="276"/>
      <c r="G25" s="276"/>
      <c r="H25" s="718"/>
      <c r="I25" s="719"/>
      <c r="J25" s="720"/>
      <c r="K25" s="276"/>
      <c r="L25" s="276"/>
      <c r="M25" s="718"/>
      <c r="N25" s="719"/>
      <c r="O25" s="720"/>
      <c r="P25" s="285"/>
      <c r="Q25" s="14"/>
      <c r="R25" s="258"/>
      <c r="S25" s="259"/>
      <c r="T25" s="231"/>
      <c r="U25" s="13"/>
      <c r="V25" s="13"/>
      <c r="W25" s="672"/>
      <c r="X25" s="673"/>
      <c r="Y25" s="674"/>
      <c r="AB25" s="724"/>
      <c r="AC25" s="725"/>
      <c r="AD25" s="726"/>
      <c r="AG25" s="13"/>
      <c r="AH25" s="13"/>
      <c r="AI25" s="13"/>
      <c r="AJ25" s="13"/>
    </row>
    <row r="26" spans="2:43" ht="16.5" customHeight="1" thickBot="1" x14ac:dyDescent="0.4">
      <c r="B26" s="301" t="s">
        <v>140</v>
      </c>
      <c r="C26" s="302">
        <v>143610</v>
      </c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85"/>
      <c r="Q26" s="14"/>
      <c r="R26" s="13"/>
      <c r="S26" s="13"/>
      <c r="T26" s="13"/>
      <c r="U26" s="13"/>
      <c r="V26" s="13"/>
    </row>
    <row r="27" spans="2:43" ht="16.5" customHeight="1" x14ac:dyDescent="0.35">
      <c r="B27" s="275" t="s">
        <v>141</v>
      </c>
      <c r="C27" s="303">
        <v>444000</v>
      </c>
      <c r="D27" s="276"/>
      <c r="E27" s="276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2"/>
      <c r="Q27" s="114"/>
      <c r="R27" s="11"/>
      <c r="S27" s="11"/>
      <c r="T27" s="11"/>
      <c r="U27" s="11"/>
      <c r="V27" s="11"/>
      <c r="AK27" t="s">
        <v>147</v>
      </c>
    </row>
    <row r="28" spans="2:43" ht="16.5" customHeight="1" x14ac:dyDescent="0.35">
      <c r="B28" s="304"/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8"/>
      <c r="Q28" s="14"/>
      <c r="R28" s="13"/>
      <c r="S28" s="13"/>
      <c r="T28" s="13"/>
      <c r="U28" s="13"/>
    </row>
    <row r="29" spans="2:43" ht="16.5" customHeight="1" thickBot="1" x14ac:dyDescent="0.45"/>
    <row r="30" spans="2:43" ht="16.5" customHeight="1" x14ac:dyDescent="0.6">
      <c r="B30" s="217"/>
      <c r="C30" s="128"/>
      <c r="D30" s="129"/>
      <c r="E30" s="129"/>
      <c r="F30" s="305" t="s">
        <v>148</v>
      </c>
      <c r="G30" s="306"/>
      <c r="H30" s="307"/>
      <c r="I30" s="308"/>
      <c r="J30" s="129"/>
      <c r="K30" s="129"/>
      <c r="L30" s="129"/>
      <c r="M30" s="712" t="s">
        <v>124</v>
      </c>
      <c r="N30" s="712"/>
      <c r="O30" s="712"/>
      <c r="P30" s="309"/>
      <c r="Q30" s="310"/>
      <c r="R30" s="713" t="s">
        <v>124</v>
      </c>
      <c r="S30" s="713"/>
      <c r="T30" s="713"/>
      <c r="U30" s="225"/>
      <c r="V30" s="11"/>
      <c r="W30" s="677" t="s">
        <v>124</v>
      </c>
      <c r="X30" s="677"/>
      <c r="Y30" s="677"/>
    </row>
    <row r="31" spans="2:43" ht="16.5" customHeight="1" thickBot="1" x14ac:dyDescent="0.45">
      <c r="B31" s="227"/>
      <c r="C31" s="228"/>
      <c r="D31" s="13"/>
      <c r="E31" s="13"/>
      <c r="F31" s="311" t="s">
        <v>149</v>
      </c>
      <c r="G31" s="312"/>
      <c r="H31" s="313"/>
      <c r="I31" s="17"/>
      <c r="J31" s="13"/>
      <c r="K31" s="13"/>
      <c r="L31" s="13"/>
      <c r="M31" s="13"/>
      <c r="N31" s="13"/>
      <c r="O31" s="11"/>
      <c r="P31" s="232"/>
      <c r="Q31" s="114"/>
      <c r="R31" s="11"/>
      <c r="S31" s="11"/>
      <c r="T31" s="11"/>
      <c r="U31" s="11"/>
      <c r="V31" s="11"/>
      <c r="W31" s="12"/>
      <c r="X31" s="12"/>
    </row>
    <row r="32" spans="2:43" ht="16.5" customHeight="1" x14ac:dyDescent="0.4">
      <c r="B32" s="227"/>
      <c r="C32" s="228"/>
      <c r="D32" s="13"/>
      <c r="E32" s="13"/>
      <c r="F32" s="13"/>
      <c r="G32" s="13"/>
      <c r="H32" s="13"/>
      <c r="I32" s="13"/>
      <c r="J32" s="13"/>
      <c r="K32" s="233"/>
      <c r="L32" s="234"/>
      <c r="M32" s="13"/>
      <c r="N32" s="13"/>
      <c r="O32" s="13"/>
      <c r="P32" s="235"/>
      <c r="Q32" s="14"/>
      <c r="R32" s="13"/>
      <c r="S32" s="13"/>
      <c r="T32" s="13"/>
      <c r="U32" s="13"/>
      <c r="AE32" s="11"/>
      <c r="AF32" s="11"/>
      <c r="AG32" s="11"/>
      <c r="AH32" s="11"/>
      <c r="AI32" s="11"/>
    </row>
    <row r="33" spans="2:36" ht="16.5" customHeight="1" x14ac:dyDescent="0.4">
      <c r="B33" s="227"/>
      <c r="C33" s="228"/>
      <c r="D33" s="13"/>
      <c r="E33" s="13"/>
      <c r="F33" s="17"/>
      <c r="G33" s="17"/>
      <c r="H33" s="709" t="s">
        <v>150</v>
      </c>
      <c r="I33" s="709"/>
      <c r="J33" s="709"/>
      <c r="K33" s="17"/>
      <c r="L33" s="17"/>
      <c r="M33" s="709" t="s">
        <v>150</v>
      </c>
      <c r="N33" s="709"/>
      <c r="O33" s="709"/>
      <c r="P33" s="314"/>
      <c r="Q33" s="315"/>
      <c r="R33" s="17"/>
      <c r="S33" s="17"/>
      <c r="T33" s="17"/>
      <c r="U33" s="17"/>
      <c r="V33" s="239"/>
      <c r="W33" s="679" t="s">
        <v>128</v>
      </c>
      <c r="X33" s="679"/>
      <c r="Y33" s="679"/>
      <c r="Z33" s="238"/>
      <c r="AA33" s="316"/>
      <c r="AE33" s="317"/>
      <c r="AF33" s="11"/>
      <c r="AG33" s="714"/>
      <c r="AH33" s="714"/>
      <c r="AI33" s="714"/>
    </row>
    <row r="34" spans="2:36" ht="16.5" customHeight="1" thickBot="1" x14ac:dyDescent="0.45">
      <c r="B34" s="227"/>
      <c r="C34" s="228"/>
      <c r="D34" s="13"/>
      <c r="E34" s="13"/>
      <c r="F34" s="659" t="s">
        <v>151</v>
      </c>
      <c r="G34" s="659"/>
      <c r="H34" s="13"/>
      <c r="I34" s="13"/>
      <c r="J34" s="13"/>
      <c r="K34" s="649" t="s">
        <v>152</v>
      </c>
      <c r="L34" s="649"/>
      <c r="M34" s="13"/>
      <c r="N34" s="13"/>
      <c r="O34" s="13"/>
      <c r="P34" s="711" t="s">
        <v>153</v>
      </c>
      <c r="Q34" s="711"/>
      <c r="R34" s="660" t="s">
        <v>154</v>
      </c>
      <c r="S34" s="660"/>
      <c r="T34" s="660"/>
      <c r="U34" s="240"/>
      <c r="V34" s="241"/>
      <c r="Z34" s="661"/>
      <c r="AA34" s="661"/>
      <c r="AE34" s="11"/>
      <c r="AF34" s="11"/>
      <c r="AG34" s="662"/>
      <c r="AH34" s="662"/>
      <c r="AI34" s="662"/>
    </row>
    <row r="35" spans="2:36" ht="16.5" customHeight="1" thickBot="1" x14ac:dyDescent="0.45">
      <c r="B35" s="242" t="s">
        <v>134</v>
      </c>
      <c r="C35" s="243">
        <f>'[3]NUC resources'!M20</f>
        <v>40000</v>
      </c>
      <c r="D35" s="13"/>
      <c r="E35" s="13"/>
      <c r="F35" s="13"/>
      <c r="G35" s="13"/>
      <c r="H35" s="26">
        <f>'[3]NUC primary production'!H20</f>
        <v>6000</v>
      </c>
      <c r="I35" s="13"/>
      <c r="J35" s="245"/>
      <c r="K35" s="13"/>
      <c r="L35" s="13"/>
      <c r="M35" s="13"/>
      <c r="N35" s="13"/>
      <c r="O35" s="245">
        <v>265</v>
      </c>
      <c r="P35" s="235"/>
      <c r="Q35" s="14"/>
      <c r="R35" s="13"/>
      <c r="S35" s="13"/>
      <c r="T35" s="13"/>
      <c r="U35" s="13"/>
      <c r="Y35" s="246">
        <v>23800</v>
      </c>
      <c r="AB35" s="13"/>
      <c r="AC35" s="13"/>
      <c r="AD35" s="13"/>
      <c r="AE35" s="11"/>
      <c r="AF35" s="11"/>
      <c r="AG35" s="11"/>
      <c r="AH35" s="11"/>
      <c r="AI35" s="11"/>
    </row>
    <row r="36" spans="2:36" ht="16.5" customHeight="1" thickBot="1" x14ac:dyDescent="0.45">
      <c r="B36" s="247" t="s">
        <v>135</v>
      </c>
      <c r="C36" s="248">
        <f>'[3]NUC resources'!N20</f>
        <v>30000</v>
      </c>
      <c r="D36" s="13"/>
      <c r="E36" s="13"/>
      <c r="F36" s="137"/>
      <c r="G36" s="249"/>
      <c r="H36" s="703" t="s">
        <v>136</v>
      </c>
      <c r="I36" s="704"/>
      <c r="J36" s="705"/>
      <c r="K36" s="200">
        <f>'[3]NUC primary production'!Q20</f>
        <v>5006</v>
      </c>
      <c r="L36" s="249">
        <f>K36</f>
        <v>5006</v>
      </c>
      <c r="M36" s="703" t="s">
        <v>155</v>
      </c>
      <c r="N36" s="704"/>
      <c r="O36" s="705"/>
      <c r="P36" s="318">
        <f>L36</f>
        <v>5006</v>
      </c>
      <c r="Q36" s="138">
        <f>P36</f>
        <v>5006</v>
      </c>
      <c r="R36" s="319"/>
      <c r="S36" s="308"/>
      <c r="T36" s="307"/>
      <c r="U36" s="137">
        <f>Q36</f>
        <v>5006</v>
      </c>
      <c r="V36" s="137">
        <f>U36</f>
        <v>5006</v>
      </c>
      <c r="W36" s="669" t="s">
        <v>156</v>
      </c>
      <c r="X36" s="670"/>
      <c r="Y36" s="671"/>
      <c r="Z36" s="136">
        <f>V36</f>
        <v>5006</v>
      </c>
      <c r="AA36" s="138"/>
      <c r="AB36" s="137"/>
      <c r="AC36" s="137"/>
      <c r="AD36" s="137"/>
      <c r="AE36" s="266"/>
      <c r="AF36" s="11"/>
      <c r="AG36" s="320"/>
      <c r="AH36" s="320"/>
      <c r="AI36" s="320"/>
      <c r="AJ36" s="13"/>
    </row>
    <row r="37" spans="2:36" ht="16.5" customHeight="1" thickBot="1" x14ac:dyDescent="0.45">
      <c r="B37" s="256" t="s">
        <v>140</v>
      </c>
      <c r="C37" s="257">
        <f>'[3]NUC resources'!O20</f>
        <v>20000</v>
      </c>
      <c r="D37" s="13"/>
      <c r="E37" s="13"/>
      <c r="F37" s="13"/>
      <c r="G37" s="13"/>
      <c r="H37" s="706"/>
      <c r="I37" s="707"/>
      <c r="J37" s="708"/>
      <c r="K37" s="13"/>
      <c r="L37" s="13"/>
      <c r="M37" s="706"/>
      <c r="N37" s="707"/>
      <c r="O37" s="708"/>
      <c r="P37" s="235"/>
      <c r="Q37" s="14"/>
      <c r="R37" s="321"/>
      <c r="S37" s="322"/>
      <c r="T37" s="313"/>
      <c r="U37" s="13"/>
      <c r="V37" s="13"/>
      <c r="W37" s="672"/>
      <c r="X37" s="673"/>
      <c r="Y37" s="674"/>
      <c r="AE37" s="11"/>
      <c r="AF37" s="11"/>
      <c r="AG37" s="320"/>
      <c r="AH37" s="320"/>
      <c r="AI37" s="320"/>
    </row>
    <row r="38" spans="2:36" ht="16.5" customHeight="1" x14ac:dyDescent="0.4">
      <c r="B38" s="227" t="s">
        <v>141</v>
      </c>
      <c r="C38" s="263">
        <f>'[3]NUC resources'!P20</f>
        <v>90000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35"/>
      <c r="Q38" s="14"/>
      <c r="R38" s="13"/>
      <c r="S38" s="13"/>
      <c r="T38" s="13"/>
      <c r="U38" s="13"/>
      <c r="V38" s="13"/>
    </row>
    <row r="39" spans="2:36" ht="16.5" customHeight="1" x14ac:dyDescent="0.4">
      <c r="B39" s="227"/>
      <c r="C39" s="228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235"/>
      <c r="Q39" s="14"/>
      <c r="R39" s="13"/>
      <c r="S39" s="13"/>
      <c r="T39" s="13"/>
      <c r="U39" s="13"/>
    </row>
    <row r="40" spans="2:36" ht="16.5" customHeight="1" thickBot="1" x14ac:dyDescent="0.45">
      <c r="B40" s="264"/>
      <c r="C40" s="265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251"/>
      <c r="Q40" s="14"/>
      <c r="R40" s="13"/>
      <c r="S40" s="13"/>
      <c r="T40" s="13"/>
      <c r="U40" s="13"/>
    </row>
    <row r="41" spans="2:36" ht="16.5" customHeight="1" thickBot="1" x14ac:dyDescent="0.45"/>
    <row r="42" spans="2:36" ht="16.5" customHeight="1" x14ac:dyDescent="0.6">
      <c r="B42" s="217"/>
      <c r="C42" s="128"/>
      <c r="D42" s="129"/>
      <c r="E42" s="129"/>
      <c r="F42" s="305" t="s">
        <v>157</v>
      </c>
      <c r="G42" s="306"/>
      <c r="H42" s="307"/>
      <c r="I42" s="308"/>
      <c r="J42" s="129"/>
      <c r="K42" s="323"/>
      <c r="L42" s="323"/>
      <c r="M42" s="712" t="s">
        <v>124</v>
      </c>
      <c r="N42" s="712"/>
      <c r="O42" s="712"/>
      <c r="P42" s="222"/>
      <c r="Q42" s="14"/>
      <c r="R42" s="713" t="s">
        <v>124</v>
      </c>
      <c r="S42" s="713"/>
      <c r="T42" s="713"/>
      <c r="U42" s="225"/>
      <c r="V42" s="11"/>
      <c r="W42" s="677" t="s">
        <v>124</v>
      </c>
      <c r="X42" s="677"/>
      <c r="Y42" s="677"/>
    </row>
    <row r="43" spans="2:36" ht="16.5" customHeight="1" thickBot="1" x14ac:dyDescent="0.45">
      <c r="B43" s="227"/>
      <c r="C43" s="228"/>
      <c r="D43" s="13"/>
      <c r="E43" s="13"/>
      <c r="F43" s="311" t="s">
        <v>149</v>
      </c>
      <c r="G43" s="312"/>
      <c r="H43" s="313"/>
      <c r="I43" s="17"/>
      <c r="J43" s="13"/>
      <c r="K43" s="324"/>
      <c r="L43" s="234"/>
      <c r="M43" s="11"/>
      <c r="N43" s="11"/>
      <c r="O43" s="11"/>
      <c r="P43" s="232"/>
      <c r="Q43" s="114"/>
      <c r="R43" s="11"/>
      <c r="S43" s="11"/>
      <c r="T43" s="11"/>
      <c r="U43" s="11"/>
      <c r="V43" s="11"/>
      <c r="W43" s="12"/>
      <c r="X43" s="12"/>
    </row>
    <row r="44" spans="2:36" ht="16.5" customHeight="1" x14ac:dyDescent="0.4">
      <c r="B44" s="227"/>
      <c r="C44" s="228"/>
      <c r="D44" s="13"/>
      <c r="E44" s="13"/>
      <c r="F44" s="13"/>
      <c r="G44" s="13"/>
      <c r="H44" s="13"/>
      <c r="I44" s="13"/>
      <c r="J44" s="13"/>
      <c r="K44" s="233"/>
      <c r="L44" s="234"/>
      <c r="M44" s="13"/>
      <c r="N44" s="13"/>
      <c r="O44" s="13"/>
      <c r="P44" s="235"/>
      <c r="Q44" s="14"/>
      <c r="R44" s="13"/>
      <c r="S44" s="13"/>
      <c r="T44" s="13"/>
      <c r="U44" s="13"/>
    </row>
    <row r="45" spans="2:36" ht="16.5" customHeight="1" x14ac:dyDescent="0.4">
      <c r="B45" s="227"/>
      <c r="C45" s="228"/>
      <c r="D45" s="13"/>
      <c r="E45" s="13"/>
      <c r="F45" s="17"/>
      <c r="G45" s="17"/>
      <c r="H45" s="709" t="s">
        <v>150</v>
      </c>
      <c r="I45" s="709"/>
      <c r="J45" s="709"/>
      <c r="K45" s="17"/>
      <c r="L45" s="17"/>
      <c r="M45" s="709" t="s">
        <v>150</v>
      </c>
      <c r="N45" s="709"/>
      <c r="O45" s="709"/>
      <c r="P45" s="314"/>
      <c r="Q45" s="315"/>
      <c r="R45" s="17"/>
      <c r="S45" s="17"/>
      <c r="T45" s="17"/>
      <c r="U45" s="17"/>
      <c r="V45" s="239"/>
      <c r="W45" s="679" t="s">
        <v>128</v>
      </c>
      <c r="X45" s="679"/>
      <c r="Y45" s="679"/>
      <c r="Z45" s="238"/>
      <c r="AA45" s="316"/>
      <c r="AB45" s="234"/>
      <c r="AC45" s="234"/>
      <c r="AD45" s="234"/>
      <c r="AE45" s="317"/>
    </row>
    <row r="46" spans="2:36" ht="16.5" customHeight="1" thickBot="1" x14ac:dyDescent="0.45">
      <c r="B46" s="227"/>
      <c r="C46" s="228"/>
      <c r="D46" s="13"/>
      <c r="E46" s="13"/>
      <c r="F46" s="659" t="s">
        <v>158</v>
      </c>
      <c r="G46" s="659"/>
      <c r="H46" s="13"/>
      <c r="I46" s="13"/>
      <c r="J46" s="13"/>
      <c r="K46" s="649" t="s">
        <v>158</v>
      </c>
      <c r="L46" s="649"/>
      <c r="M46" s="13"/>
      <c r="N46" s="13"/>
      <c r="O46" s="13"/>
      <c r="P46" s="710" t="s">
        <v>159</v>
      </c>
      <c r="Q46" s="711"/>
      <c r="R46" s="660" t="s">
        <v>160</v>
      </c>
      <c r="S46" s="660"/>
      <c r="T46" s="660"/>
      <c r="U46" s="240"/>
      <c r="V46" s="241"/>
      <c r="Z46" s="661"/>
      <c r="AA46" s="661"/>
      <c r="AB46" s="662"/>
      <c r="AC46" s="662"/>
      <c r="AD46" s="662"/>
      <c r="AE46" s="11"/>
    </row>
    <row r="47" spans="2:36" ht="16.5" customHeight="1" thickBot="1" x14ac:dyDescent="0.45">
      <c r="B47" s="242" t="s">
        <v>134</v>
      </c>
      <c r="C47" s="243">
        <f>'[3]NUC resources'!M24</f>
        <v>130000</v>
      </c>
      <c r="D47" s="13"/>
      <c r="E47" s="13"/>
      <c r="F47" s="13" t="s">
        <v>161</v>
      </c>
      <c r="G47" s="13"/>
      <c r="H47" s="26">
        <f>'[3]NUC primary production'!H26</f>
        <v>5500</v>
      </c>
      <c r="I47" s="13"/>
      <c r="J47" s="245"/>
      <c r="K47" s="13" t="s">
        <v>161</v>
      </c>
      <c r="L47" s="13"/>
      <c r="M47" s="13"/>
      <c r="N47" s="13"/>
      <c r="O47" s="245">
        <v>650</v>
      </c>
      <c r="P47" s="235"/>
      <c r="Q47" s="14"/>
      <c r="R47" s="13"/>
      <c r="S47" s="13"/>
      <c r="T47" s="13"/>
      <c r="U47" s="13"/>
      <c r="Y47" s="246">
        <v>23000</v>
      </c>
      <c r="AB47" s="11"/>
      <c r="AC47" s="11"/>
      <c r="AD47" s="11"/>
      <c r="AE47" s="11"/>
    </row>
    <row r="48" spans="2:36" ht="16.5" customHeight="1" thickBot="1" x14ac:dyDescent="0.45">
      <c r="B48" s="247" t="s">
        <v>135</v>
      </c>
      <c r="C48" s="248">
        <f>'[3]NUC resources'!N24</f>
        <v>13000</v>
      </c>
      <c r="D48" s="13"/>
      <c r="E48" s="13"/>
      <c r="F48" s="137" t="s">
        <v>162</v>
      </c>
      <c r="G48" s="249"/>
      <c r="H48" s="703" t="s">
        <v>136</v>
      </c>
      <c r="I48" s="704"/>
      <c r="J48" s="705"/>
      <c r="K48" s="200">
        <f>'[3]NUC primary production'!Q26</f>
        <v>4513</v>
      </c>
      <c r="L48" s="249">
        <f>K48</f>
        <v>4513</v>
      </c>
      <c r="M48" s="703" t="s">
        <v>163</v>
      </c>
      <c r="N48" s="704"/>
      <c r="O48" s="705"/>
      <c r="P48" s="318">
        <f>L48</f>
        <v>4513</v>
      </c>
      <c r="Q48" s="138">
        <f>P48</f>
        <v>4513</v>
      </c>
      <c r="R48" s="319"/>
      <c r="S48" s="308"/>
      <c r="T48" s="307"/>
      <c r="U48" s="137">
        <f>Q48</f>
        <v>4513</v>
      </c>
      <c r="V48" s="137">
        <f>U48</f>
        <v>4513</v>
      </c>
      <c r="W48" s="669" t="s">
        <v>164</v>
      </c>
      <c r="X48" s="670"/>
      <c r="Y48" s="671"/>
      <c r="Z48" s="136">
        <f>V48</f>
        <v>4513</v>
      </c>
      <c r="AA48" s="138"/>
      <c r="AB48" s="325"/>
      <c r="AC48" s="325"/>
      <c r="AD48" s="325"/>
      <c r="AE48" s="266"/>
      <c r="AF48" s="13"/>
      <c r="AG48" s="13"/>
      <c r="AH48" s="13"/>
      <c r="AI48" s="13"/>
      <c r="AJ48" s="13"/>
    </row>
    <row r="49" spans="2:42" ht="16.5" customHeight="1" thickBot="1" x14ac:dyDescent="0.45">
      <c r="B49" s="256" t="s">
        <v>140</v>
      </c>
      <c r="C49" s="257">
        <f>'[3]NUC resources'!O24</f>
        <v>910000</v>
      </c>
      <c r="D49" s="13"/>
      <c r="E49" s="13"/>
      <c r="F49" s="13"/>
      <c r="G49" s="13"/>
      <c r="H49" s="706"/>
      <c r="I49" s="707"/>
      <c r="J49" s="708"/>
      <c r="K49" s="13"/>
      <c r="L49" s="13"/>
      <c r="M49" s="706"/>
      <c r="N49" s="707"/>
      <c r="O49" s="708"/>
      <c r="P49" s="235"/>
      <c r="Q49" s="14"/>
      <c r="R49" s="321"/>
      <c r="S49" s="322"/>
      <c r="T49" s="313"/>
      <c r="U49" s="13"/>
      <c r="V49" s="13"/>
      <c r="W49" s="672"/>
      <c r="X49" s="673"/>
      <c r="Y49" s="674"/>
      <c r="AB49" s="320"/>
      <c r="AC49" s="320"/>
      <c r="AD49" s="320"/>
      <c r="AE49" s="11"/>
    </row>
    <row r="50" spans="2:42" ht="16.5" customHeight="1" x14ac:dyDescent="0.4">
      <c r="B50" s="227" t="s">
        <v>141</v>
      </c>
      <c r="C50" s="263">
        <f>'[3]NUC resources'!P24</f>
        <v>1053000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235"/>
      <c r="Q50" s="14"/>
      <c r="R50" s="13"/>
      <c r="S50" s="13"/>
      <c r="T50" s="13"/>
      <c r="U50" s="13"/>
      <c r="V50" s="13"/>
      <c r="AB50" s="11"/>
      <c r="AC50" s="11"/>
      <c r="AD50" s="11"/>
      <c r="AE50" s="11"/>
    </row>
    <row r="51" spans="2:42" ht="16.5" customHeight="1" x14ac:dyDescent="0.4">
      <c r="B51" s="227"/>
      <c r="C51" s="22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235"/>
      <c r="Q51" s="14"/>
      <c r="R51" s="13"/>
      <c r="S51" s="13"/>
      <c r="T51" s="13"/>
      <c r="U51" s="13"/>
    </row>
    <row r="52" spans="2:42" ht="16.5" customHeight="1" thickBot="1" x14ac:dyDescent="0.45">
      <c r="B52" s="264"/>
      <c r="C52" s="265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251"/>
      <c r="Q52" s="14"/>
      <c r="R52" s="13"/>
      <c r="S52" s="13"/>
      <c r="T52" s="13"/>
      <c r="U52" s="13"/>
    </row>
    <row r="53" spans="2:42" ht="16.5" customHeight="1" thickBot="1" x14ac:dyDescent="0.45"/>
    <row r="54" spans="2:42" ht="16.5" customHeight="1" x14ac:dyDescent="0.6">
      <c r="B54" s="217"/>
      <c r="C54" s="128"/>
      <c r="D54" s="129"/>
      <c r="E54" s="129"/>
      <c r="F54" s="326" t="s">
        <v>165</v>
      </c>
      <c r="G54" s="327"/>
      <c r="H54" s="328"/>
      <c r="I54" s="329"/>
      <c r="J54" s="129"/>
      <c r="K54" s="129"/>
      <c r="L54" s="129"/>
      <c r="M54" s="700" t="s">
        <v>124</v>
      </c>
      <c r="N54" s="700"/>
      <c r="O54" s="700"/>
      <c r="P54" s="222"/>
      <c r="Q54" s="14"/>
      <c r="R54" s="701" t="s">
        <v>124</v>
      </c>
      <c r="S54" s="701"/>
      <c r="T54" s="701"/>
      <c r="U54" s="225"/>
      <c r="V54" s="11"/>
      <c r="W54" s="701" t="s">
        <v>124</v>
      </c>
      <c r="X54" s="701"/>
      <c r="Y54" s="701"/>
      <c r="AB54" s="677" t="s">
        <v>124</v>
      </c>
      <c r="AC54" s="677"/>
      <c r="AD54" s="677"/>
    </row>
    <row r="55" spans="2:42" ht="16.5" customHeight="1" thickBot="1" x14ac:dyDescent="0.45">
      <c r="B55" s="227"/>
      <c r="C55" s="228"/>
      <c r="D55" s="13"/>
      <c r="E55" s="13"/>
      <c r="F55" s="330" t="s">
        <v>166</v>
      </c>
      <c r="G55" s="331"/>
      <c r="H55" s="332"/>
      <c r="I55" s="333"/>
      <c r="J55" s="13"/>
      <c r="K55" s="13"/>
      <c r="L55" s="13"/>
      <c r="M55" s="13"/>
      <c r="N55" s="13"/>
      <c r="O55" s="11"/>
      <c r="P55" s="232"/>
      <c r="Q55" s="114"/>
      <c r="R55" s="11"/>
      <c r="S55" s="11"/>
      <c r="T55" s="11"/>
      <c r="U55" s="11"/>
      <c r="V55" s="11"/>
      <c r="W55" s="12"/>
      <c r="X55" s="12"/>
    </row>
    <row r="56" spans="2:42" ht="16.5" customHeight="1" x14ac:dyDescent="0.4">
      <c r="B56" s="227"/>
      <c r="C56" s="228"/>
      <c r="D56" s="13"/>
      <c r="E56" s="13"/>
      <c r="F56" s="13"/>
      <c r="G56" s="13"/>
      <c r="H56" s="13"/>
      <c r="I56" s="13"/>
      <c r="J56" s="13"/>
      <c r="K56" s="233"/>
      <c r="L56" s="234"/>
      <c r="M56" s="13"/>
      <c r="N56" s="13"/>
      <c r="O56" s="13"/>
      <c r="P56" s="235"/>
      <c r="Q56" s="14"/>
      <c r="R56" s="13"/>
      <c r="S56" s="13"/>
      <c r="T56" s="13"/>
      <c r="U56" s="13"/>
    </row>
    <row r="57" spans="2:42" ht="16.5" customHeight="1" x14ac:dyDescent="0.4">
      <c r="B57" s="227"/>
      <c r="C57" s="228"/>
      <c r="D57" s="13"/>
      <c r="E57" s="13"/>
      <c r="F57" s="334"/>
      <c r="G57" s="334"/>
      <c r="H57" s="698" t="s">
        <v>167</v>
      </c>
      <c r="I57" s="698"/>
      <c r="J57" s="698"/>
      <c r="K57" s="334"/>
      <c r="L57" s="334"/>
      <c r="M57" s="698" t="s">
        <v>167</v>
      </c>
      <c r="N57" s="698"/>
      <c r="O57" s="698"/>
      <c r="P57" s="335"/>
      <c r="Q57" s="336"/>
      <c r="R57" s="699" t="s">
        <v>168</v>
      </c>
      <c r="S57" s="699"/>
      <c r="T57" s="699"/>
      <c r="U57" s="336"/>
      <c r="V57" s="337"/>
      <c r="W57" s="699" t="s">
        <v>168</v>
      </c>
      <c r="X57" s="699"/>
      <c r="Y57" s="699"/>
      <c r="Z57" s="336"/>
      <c r="AA57" s="238"/>
      <c r="AB57" s="679" t="s">
        <v>128</v>
      </c>
      <c r="AC57" s="679"/>
      <c r="AD57" s="679"/>
      <c r="AE57" s="239"/>
      <c r="AF57" s="338"/>
      <c r="AG57" s="702" t="s">
        <v>66</v>
      </c>
      <c r="AH57" s="702"/>
      <c r="AI57" s="702"/>
      <c r="AJ57" s="338"/>
      <c r="AK57" s="288" t="s">
        <v>169</v>
      </c>
      <c r="AL57" s="239"/>
      <c r="AM57" s="239"/>
      <c r="AN57" s="239"/>
      <c r="AO57" s="239"/>
      <c r="AP57" s="239"/>
    </row>
    <row r="58" spans="2:42" ht="16.5" customHeight="1" thickBot="1" x14ac:dyDescent="0.45">
      <c r="B58" s="227"/>
      <c r="C58" s="228"/>
      <c r="D58" s="13"/>
      <c r="E58" s="13"/>
      <c r="F58" s="659" t="s">
        <v>170</v>
      </c>
      <c r="G58" s="659"/>
      <c r="H58" s="13"/>
      <c r="I58" s="13"/>
      <c r="J58" s="13"/>
      <c r="K58" s="649" t="s">
        <v>171</v>
      </c>
      <c r="L58" s="649"/>
      <c r="M58" s="13"/>
      <c r="N58" s="13"/>
      <c r="O58" s="13"/>
      <c r="P58" s="235" t="s">
        <v>172</v>
      </c>
      <c r="U58" s="661" t="s">
        <v>173</v>
      </c>
      <c r="V58" s="661"/>
      <c r="W58" s="660" t="s">
        <v>174</v>
      </c>
      <c r="X58" s="660"/>
      <c r="Y58" s="660"/>
      <c r="AE58" s="9"/>
      <c r="AF58" s="9"/>
      <c r="AG58" s="661" t="s">
        <v>175</v>
      </c>
      <c r="AH58" s="661"/>
      <c r="AI58" s="661"/>
    </row>
    <row r="59" spans="2:42" ht="16.5" customHeight="1" thickBot="1" x14ac:dyDescent="0.45">
      <c r="B59" s="242" t="s">
        <v>134</v>
      </c>
      <c r="C59" s="243">
        <f>'[3]NUC resources'!M30</f>
        <v>24300</v>
      </c>
      <c r="D59" s="13"/>
      <c r="E59" s="13"/>
      <c r="F59" s="13"/>
      <c r="G59" s="13"/>
      <c r="H59" s="13">
        <v>9000</v>
      </c>
      <c r="I59" s="13"/>
      <c r="J59" s="245"/>
      <c r="K59" s="13"/>
      <c r="L59" s="13"/>
      <c r="M59" s="13"/>
      <c r="N59" s="13"/>
      <c r="O59" s="245">
        <v>1910</v>
      </c>
      <c r="P59" s="235"/>
      <c r="T59" s="246">
        <v>420</v>
      </c>
      <c r="U59" s="9"/>
      <c r="V59" s="9"/>
      <c r="AD59" s="246">
        <v>7185</v>
      </c>
    </row>
    <row r="60" spans="2:42" ht="16.5" customHeight="1" thickBot="1" x14ac:dyDescent="0.45">
      <c r="B60" s="247" t="s">
        <v>135</v>
      </c>
      <c r="C60" s="248">
        <f>'[3]NUC resources'!N30</f>
        <v>28700</v>
      </c>
      <c r="D60" s="13"/>
      <c r="E60" s="13"/>
      <c r="F60" s="137"/>
      <c r="G60" s="249"/>
      <c r="H60" s="680" t="s">
        <v>136</v>
      </c>
      <c r="I60" s="681"/>
      <c r="J60" s="682"/>
      <c r="K60" s="137">
        <v>3096</v>
      </c>
      <c r="L60" s="249">
        <f>K60</f>
        <v>3096</v>
      </c>
      <c r="M60" s="680" t="s">
        <v>176</v>
      </c>
      <c r="N60" s="681"/>
      <c r="O60" s="682"/>
      <c r="P60" s="318">
        <f>L60</f>
        <v>3096</v>
      </c>
      <c r="Q60" s="138">
        <f>P60</f>
        <v>3096</v>
      </c>
      <c r="R60" s="686" t="s">
        <v>177</v>
      </c>
      <c r="S60" s="687"/>
      <c r="T60" s="688"/>
      <c r="U60" s="136">
        <f>Q60</f>
        <v>3096</v>
      </c>
      <c r="V60" s="138">
        <f>U60</f>
        <v>3096</v>
      </c>
      <c r="W60" s="686"/>
      <c r="X60" s="687"/>
      <c r="Y60" s="688"/>
      <c r="Z60" s="136">
        <f>V60</f>
        <v>3096</v>
      </c>
      <c r="AA60" s="251"/>
      <c r="AB60" s="669" t="s">
        <v>178</v>
      </c>
      <c r="AC60" s="670"/>
      <c r="AD60" s="671"/>
      <c r="AE60" s="199">
        <f>V60</f>
        <v>3096</v>
      </c>
      <c r="AF60" s="200">
        <f>Z48+AE60+Z72+Z36</f>
        <v>16330</v>
      </c>
      <c r="AG60" s="692"/>
      <c r="AH60" s="693"/>
      <c r="AI60" s="694"/>
      <c r="AJ60" s="339">
        <f>AF60</f>
        <v>16330</v>
      </c>
    </row>
    <row r="61" spans="2:42" ht="16.5" customHeight="1" thickBot="1" x14ac:dyDescent="0.45">
      <c r="B61" s="256" t="s">
        <v>140</v>
      </c>
      <c r="C61" s="257">
        <f>'[3]NUC resources'!O30</f>
        <v>172000</v>
      </c>
      <c r="D61" s="13"/>
      <c r="E61" s="13"/>
      <c r="F61" s="13"/>
      <c r="G61" s="13"/>
      <c r="H61" s="683"/>
      <c r="I61" s="684"/>
      <c r="J61" s="685"/>
      <c r="K61" s="13"/>
      <c r="L61" s="13"/>
      <c r="M61" s="683"/>
      <c r="N61" s="684"/>
      <c r="O61" s="685"/>
      <c r="P61" s="235"/>
      <c r="Q61" s="14"/>
      <c r="R61" s="689"/>
      <c r="S61" s="690"/>
      <c r="T61" s="691"/>
      <c r="U61" s="9"/>
      <c r="V61" s="9"/>
      <c r="W61" s="689"/>
      <c r="X61" s="690"/>
      <c r="Y61" s="691"/>
      <c r="AB61" s="672"/>
      <c r="AC61" s="673"/>
      <c r="AD61" s="674"/>
      <c r="AG61" s="695"/>
      <c r="AH61" s="696"/>
      <c r="AI61" s="697"/>
    </row>
    <row r="62" spans="2:42" ht="16.5" customHeight="1" x14ac:dyDescent="0.4">
      <c r="B62" s="227" t="s">
        <v>141</v>
      </c>
      <c r="C62" s="263">
        <f>'[3]NUC resources'!P30</f>
        <v>225000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235"/>
      <c r="Q62" s="14"/>
      <c r="U62" s="9"/>
      <c r="V62" s="9"/>
    </row>
    <row r="63" spans="2:42" ht="16.5" customHeight="1" x14ac:dyDescent="0.4">
      <c r="B63" s="227"/>
      <c r="C63" s="22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235"/>
      <c r="U63" s="9"/>
      <c r="V63" s="9"/>
    </row>
    <row r="64" spans="2:42" ht="16.5" customHeight="1" thickBot="1" x14ac:dyDescent="0.45">
      <c r="B64" s="264"/>
      <c r="C64" s="265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251"/>
      <c r="Q64" s="14"/>
      <c r="R64" s="13"/>
      <c r="S64" s="13"/>
      <c r="T64" s="13"/>
      <c r="U64" s="13"/>
      <c r="V64">
        <v>1490</v>
      </c>
    </row>
    <row r="65" spans="2:36" ht="16.5" customHeight="1" thickBot="1" x14ac:dyDescent="0.45">
      <c r="R65" s="13"/>
      <c r="S65" s="13"/>
      <c r="T65" s="13"/>
      <c r="U65" s="13"/>
      <c r="V65" s="13"/>
      <c r="W65" s="13"/>
      <c r="X65" s="13"/>
      <c r="Y65" s="13"/>
    </row>
    <row r="66" spans="2:36" ht="16.5" customHeight="1" x14ac:dyDescent="0.6">
      <c r="B66" s="217"/>
      <c r="C66" s="128"/>
      <c r="D66" s="129"/>
      <c r="E66" s="129"/>
      <c r="F66" s="340" t="s">
        <v>179</v>
      </c>
      <c r="G66" s="341"/>
      <c r="H66" s="342"/>
      <c r="I66" s="343"/>
      <c r="J66" s="129"/>
      <c r="K66" s="129"/>
      <c r="L66" s="129"/>
      <c r="M66" s="675" t="s">
        <v>124</v>
      </c>
      <c r="N66" s="675"/>
      <c r="O66" s="675"/>
      <c r="P66" s="309"/>
      <c r="Q66" s="310"/>
      <c r="R66" s="676" t="s">
        <v>124</v>
      </c>
      <c r="S66" s="676"/>
      <c r="T66" s="676"/>
      <c r="U66" s="225"/>
      <c r="V66" s="11"/>
      <c r="W66" s="677" t="s">
        <v>124</v>
      </c>
      <c r="X66" s="677"/>
      <c r="Y66" s="677"/>
    </row>
    <row r="67" spans="2:36" ht="16.5" customHeight="1" thickBot="1" x14ac:dyDescent="0.45">
      <c r="B67" s="227"/>
      <c r="C67" s="228"/>
      <c r="D67" s="13"/>
      <c r="E67" s="13"/>
      <c r="F67" s="344" t="s">
        <v>180</v>
      </c>
      <c r="G67" s="345"/>
      <c r="H67" s="346"/>
      <c r="I67" s="16"/>
      <c r="J67" s="13"/>
      <c r="K67" s="13"/>
      <c r="L67" s="13"/>
      <c r="M67" s="13"/>
      <c r="N67" s="13"/>
      <c r="O67" s="11"/>
      <c r="P67" s="232"/>
      <c r="Q67" s="114"/>
      <c r="R67" s="11"/>
      <c r="S67" s="11"/>
      <c r="T67" s="11"/>
      <c r="U67" s="11"/>
      <c r="V67" s="11"/>
      <c r="W67" s="12"/>
      <c r="X67" s="12"/>
    </row>
    <row r="68" spans="2:36" ht="16.5" customHeight="1" x14ac:dyDescent="0.4">
      <c r="B68" s="227"/>
      <c r="C68" s="228"/>
      <c r="D68" s="13"/>
      <c r="E68" s="13"/>
      <c r="F68" s="13"/>
      <c r="G68" s="13"/>
      <c r="H68" s="13"/>
      <c r="I68" s="13"/>
      <c r="J68" s="13"/>
      <c r="K68" s="233"/>
      <c r="L68" s="234"/>
      <c r="M68" s="13"/>
      <c r="N68" s="13"/>
      <c r="O68" s="13"/>
      <c r="P68" s="235"/>
      <c r="Q68" s="14"/>
      <c r="R68" s="13"/>
      <c r="S68" s="13"/>
      <c r="T68" s="13"/>
      <c r="U68" s="13"/>
    </row>
    <row r="69" spans="2:36" ht="16.5" customHeight="1" x14ac:dyDescent="0.4">
      <c r="B69" s="227"/>
      <c r="C69" s="228"/>
      <c r="D69" s="13"/>
      <c r="E69" s="13"/>
      <c r="F69" s="16"/>
      <c r="G69" s="16"/>
      <c r="H69" s="678" t="s">
        <v>181</v>
      </c>
      <c r="I69" s="678"/>
      <c r="J69" s="678"/>
      <c r="K69" s="16"/>
      <c r="L69" s="16"/>
      <c r="M69" s="678" t="s">
        <v>181</v>
      </c>
      <c r="N69" s="678"/>
      <c r="O69" s="678"/>
      <c r="P69" s="347"/>
      <c r="Q69" s="348"/>
      <c r="R69" s="678" t="s">
        <v>181</v>
      </c>
      <c r="S69" s="678"/>
      <c r="T69" s="678"/>
      <c r="U69" s="16"/>
      <c r="V69" s="349"/>
      <c r="W69" s="679" t="s">
        <v>128</v>
      </c>
      <c r="X69" s="679"/>
      <c r="Y69" s="679"/>
      <c r="Z69" s="238"/>
      <c r="AA69" s="316"/>
      <c r="AB69" s="234"/>
      <c r="AC69" s="234"/>
      <c r="AD69" s="234"/>
      <c r="AE69" s="317"/>
    </row>
    <row r="70" spans="2:36" ht="16.5" customHeight="1" thickBot="1" x14ac:dyDescent="0.45">
      <c r="B70" s="227"/>
      <c r="C70" s="228"/>
      <c r="D70" s="13"/>
      <c r="E70" s="13"/>
      <c r="F70" s="659" t="s">
        <v>182</v>
      </c>
      <c r="G70" s="659"/>
      <c r="H70" s="13"/>
      <c r="I70" s="13"/>
      <c r="J70" s="13"/>
      <c r="K70" s="649" t="s">
        <v>182</v>
      </c>
      <c r="L70" s="649"/>
      <c r="M70" s="13"/>
      <c r="N70" s="13"/>
      <c r="O70" s="13"/>
      <c r="P70" s="235" t="s">
        <v>183</v>
      </c>
      <c r="R70" s="660" t="s">
        <v>184</v>
      </c>
      <c r="S70" s="660"/>
      <c r="T70" s="660"/>
      <c r="U70" s="240"/>
      <c r="V70" s="241"/>
      <c r="Z70" s="661"/>
      <c r="AA70" s="661"/>
      <c r="AB70" s="662"/>
      <c r="AC70" s="662"/>
      <c r="AD70" s="662"/>
      <c r="AE70" s="11"/>
    </row>
    <row r="71" spans="2:36" ht="16.5" customHeight="1" thickBot="1" x14ac:dyDescent="0.45">
      <c r="B71" s="242" t="s">
        <v>134</v>
      </c>
      <c r="C71" s="350">
        <f>'[3]NUC resources'!M42</f>
        <v>38000</v>
      </c>
      <c r="D71" s="13"/>
      <c r="E71" s="13"/>
      <c r="F71" s="13"/>
      <c r="G71" s="13"/>
      <c r="H71" s="13">
        <v>4500</v>
      </c>
      <c r="I71" s="13"/>
      <c r="J71" s="245"/>
      <c r="K71" s="13"/>
      <c r="L71" s="13"/>
      <c r="M71" s="13"/>
      <c r="N71" s="13"/>
      <c r="O71" s="245">
        <v>95</v>
      </c>
      <c r="P71" s="235"/>
      <c r="T71" s="246">
        <v>420</v>
      </c>
      <c r="U71" s="13"/>
      <c r="Y71" s="246">
        <v>10720</v>
      </c>
      <c r="AB71" s="11"/>
      <c r="AC71" s="11"/>
      <c r="AD71" s="11"/>
      <c r="AE71" s="11"/>
    </row>
    <row r="72" spans="2:36" ht="16.5" customHeight="1" thickBot="1" x14ac:dyDescent="0.45">
      <c r="B72" s="247" t="s">
        <v>135</v>
      </c>
      <c r="C72" s="248">
        <f>'[3]NUC resources'!N42</f>
        <v>91000</v>
      </c>
      <c r="D72" s="13"/>
      <c r="E72" s="13"/>
      <c r="F72" s="137"/>
      <c r="G72" s="249"/>
      <c r="H72" s="663" t="s">
        <v>136</v>
      </c>
      <c r="I72" s="664"/>
      <c r="J72" s="665"/>
      <c r="K72" s="200">
        <v>3715</v>
      </c>
      <c r="L72" s="200">
        <f>K72</f>
        <v>3715</v>
      </c>
      <c r="M72" s="663" t="s">
        <v>185</v>
      </c>
      <c r="N72" s="664"/>
      <c r="O72" s="665"/>
      <c r="P72" s="351">
        <f>L72</f>
        <v>3715</v>
      </c>
      <c r="Q72" s="351">
        <f>P72</f>
        <v>3715</v>
      </c>
      <c r="R72" s="663" t="s">
        <v>177</v>
      </c>
      <c r="S72" s="664"/>
      <c r="T72" s="665"/>
      <c r="U72" s="200">
        <f>Q72</f>
        <v>3715</v>
      </c>
      <c r="V72" s="200">
        <f>U72</f>
        <v>3715</v>
      </c>
      <c r="W72" s="669" t="s">
        <v>186</v>
      </c>
      <c r="X72" s="670"/>
      <c r="Y72" s="671"/>
      <c r="Z72" s="200">
        <f>V72</f>
        <v>3715</v>
      </c>
      <c r="AA72" s="138"/>
      <c r="AB72" s="325"/>
      <c r="AC72" s="325"/>
      <c r="AD72" s="325"/>
      <c r="AE72" s="266"/>
      <c r="AF72" s="13"/>
      <c r="AG72" s="13"/>
      <c r="AH72" s="13"/>
      <c r="AI72" s="13"/>
      <c r="AJ72" s="13"/>
    </row>
    <row r="73" spans="2:36" ht="16.5" customHeight="1" thickBot="1" x14ac:dyDescent="0.45">
      <c r="B73" s="256" t="s">
        <v>140</v>
      </c>
      <c r="C73" s="257">
        <f>'[3]NUC resources'!O42</f>
        <v>153000</v>
      </c>
      <c r="D73" s="13"/>
      <c r="E73" s="13"/>
      <c r="F73" s="13"/>
      <c r="G73" s="13"/>
      <c r="H73" s="666"/>
      <c r="I73" s="667"/>
      <c r="J73" s="668"/>
      <c r="K73" s="13"/>
      <c r="L73" s="13"/>
      <c r="M73" s="666"/>
      <c r="N73" s="667"/>
      <c r="O73" s="668"/>
      <c r="P73" s="235"/>
      <c r="Q73" s="14"/>
      <c r="R73" s="666"/>
      <c r="S73" s="667"/>
      <c r="T73" s="668"/>
      <c r="U73" s="13"/>
      <c r="V73" s="13"/>
      <c r="W73" s="672"/>
      <c r="X73" s="673"/>
      <c r="Y73" s="674"/>
      <c r="AB73" s="320"/>
      <c r="AC73" s="320"/>
      <c r="AD73" s="320"/>
      <c r="AE73" s="11"/>
    </row>
    <row r="74" spans="2:36" ht="16.5" customHeight="1" x14ac:dyDescent="0.4">
      <c r="B74" s="227" t="s">
        <v>141</v>
      </c>
      <c r="C74" s="263">
        <f>'[3]NUC resources'!P42</f>
        <v>282000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235"/>
      <c r="Q74" s="14"/>
      <c r="U74" s="13"/>
      <c r="V74" s="13"/>
    </row>
    <row r="75" spans="2:36" ht="16.5" customHeight="1" x14ac:dyDescent="0.4">
      <c r="B75" s="227"/>
      <c r="C75" s="22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235"/>
      <c r="Q75" s="14"/>
      <c r="R75" s="13"/>
      <c r="S75" s="13"/>
      <c r="T75" s="13"/>
      <c r="U75" s="13"/>
    </row>
    <row r="76" spans="2:36" ht="16.5" customHeight="1" thickBot="1" x14ac:dyDescent="0.45">
      <c r="B76" s="264"/>
      <c r="C76" s="265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251"/>
      <c r="Q76" s="14"/>
      <c r="R76" s="13"/>
      <c r="S76" s="13"/>
      <c r="T76" s="13"/>
      <c r="U76" s="13"/>
    </row>
    <row r="77" spans="2:36" ht="16.5" customHeight="1" thickBot="1" x14ac:dyDescent="0.45"/>
    <row r="78" spans="2:36" ht="16.5" customHeight="1" x14ac:dyDescent="0.4">
      <c r="B78" s="352"/>
      <c r="C78" s="352"/>
      <c r="D78" s="12"/>
      <c r="E78" s="12"/>
      <c r="F78" s="353"/>
      <c r="G78" s="323"/>
      <c r="H78" s="354"/>
      <c r="I78" s="11"/>
      <c r="J78" s="12"/>
      <c r="K78" s="12"/>
    </row>
    <row r="79" spans="2:36" ht="16.5" customHeight="1" thickBot="1" x14ac:dyDescent="0.45">
      <c r="B79" s="352"/>
      <c r="C79" s="352"/>
      <c r="D79" s="12"/>
      <c r="E79" s="12"/>
      <c r="F79" s="355" t="s">
        <v>187</v>
      </c>
      <c r="G79" s="356"/>
      <c r="H79" s="357"/>
      <c r="I79" s="11"/>
      <c r="J79" s="12"/>
      <c r="K79" s="12"/>
    </row>
    <row r="80" spans="2:36" ht="16.5" customHeight="1" x14ac:dyDescent="0.4">
      <c r="B80" s="352"/>
      <c r="C80" s="352"/>
      <c r="D80" s="12"/>
      <c r="E80" s="12"/>
      <c r="F80" s="12"/>
      <c r="G80" s="12"/>
      <c r="H80" s="12"/>
      <c r="I80" s="12"/>
      <c r="J80" s="12"/>
      <c r="K80" s="12"/>
    </row>
    <row r="81" spans="2:25" ht="16.5" customHeight="1" x14ac:dyDescent="0.4">
      <c r="B81" s="650" t="s">
        <v>187</v>
      </c>
      <c r="C81" s="650"/>
      <c r="D81" s="12"/>
      <c r="E81" s="12"/>
      <c r="F81" s="12"/>
      <c r="G81" s="12"/>
      <c r="H81" s="650"/>
      <c r="I81" s="650"/>
      <c r="J81" s="650"/>
      <c r="K81" s="12"/>
    </row>
    <row r="82" spans="2:25" ht="16.5" customHeight="1" thickBot="1" x14ac:dyDescent="0.45">
      <c r="B82" s="352"/>
      <c r="C82" s="352"/>
      <c r="D82" s="12"/>
      <c r="E82" s="12"/>
      <c r="F82" s="651"/>
      <c r="G82" s="651"/>
      <c r="H82" s="12"/>
      <c r="I82" s="12"/>
      <c r="J82" s="12"/>
      <c r="K82" s="12"/>
    </row>
    <row r="83" spans="2:25" ht="16.5" customHeight="1" thickBot="1" x14ac:dyDescent="0.45">
      <c r="B83" s="358"/>
      <c r="C83" s="359">
        <v>816000</v>
      </c>
      <c r="D83" s="12"/>
      <c r="E83" s="12"/>
      <c r="F83" s="12"/>
      <c r="G83" s="12"/>
      <c r="H83" s="12"/>
      <c r="I83" s="12"/>
      <c r="J83" s="360"/>
      <c r="K83" s="12"/>
      <c r="L83" s="12"/>
      <c r="M83" s="12"/>
      <c r="N83" s="12"/>
      <c r="O83" s="360"/>
      <c r="P83" s="226"/>
      <c r="Q83" s="226"/>
      <c r="R83" s="12"/>
      <c r="S83" s="12"/>
      <c r="T83" s="12"/>
      <c r="U83" s="12"/>
      <c r="V83" s="12"/>
      <c r="W83" s="12"/>
      <c r="X83" s="12"/>
      <c r="Y83" s="360"/>
    </row>
    <row r="84" spans="2:25" ht="16.5" customHeight="1" thickBot="1" x14ac:dyDescent="0.45">
      <c r="B84" s="361"/>
      <c r="C84" s="362"/>
      <c r="D84" s="12"/>
      <c r="E84" s="12"/>
      <c r="F84" s="266"/>
      <c r="G84" s="357"/>
      <c r="H84" s="652"/>
      <c r="I84" s="653"/>
      <c r="J84" s="654"/>
      <c r="K84" s="266"/>
      <c r="L84" s="357"/>
      <c r="M84" s="652"/>
      <c r="N84" s="653"/>
      <c r="O84" s="654"/>
      <c r="P84" s="363"/>
      <c r="Q84" s="363"/>
      <c r="R84" s="266"/>
      <c r="S84" s="266"/>
      <c r="T84" s="266"/>
      <c r="U84" s="266"/>
      <c r="V84" s="357"/>
      <c r="W84" s="652"/>
      <c r="X84" s="653"/>
      <c r="Y84" s="654"/>
    </row>
    <row r="85" spans="2:25" ht="16.5" customHeight="1" thickBot="1" x14ac:dyDescent="0.45">
      <c r="B85" s="364"/>
      <c r="C85" s="365"/>
      <c r="D85" s="12"/>
      <c r="E85" s="12"/>
      <c r="F85" s="12"/>
      <c r="G85" s="12"/>
      <c r="H85" s="655"/>
      <c r="I85" s="656"/>
      <c r="J85" s="657"/>
      <c r="K85" s="12"/>
      <c r="L85" s="12"/>
      <c r="M85" s="655"/>
      <c r="N85" s="656"/>
      <c r="O85" s="657"/>
      <c r="P85" s="226"/>
      <c r="Q85" s="226"/>
      <c r="R85" s="12"/>
      <c r="S85" s="12"/>
      <c r="T85" s="12"/>
      <c r="U85" s="12"/>
      <c r="V85" s="12"/>
      <c r="W85" s="655"/>
      <c r="X85" s="656"/>
      <c r="Y85" s="657"/>
    </row>
    <row r="86" spans="2:25" ht="16.5" customHeight="1" x14ac:dyDescent="0.4">
      <c r="B86" s="352"/>
      <c r="C86" s="35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226"/>
      <c r="Q86" s="226"/>
      <c r="R86" s="12"/>
      <c r="S86" s="12"/>
      <c r="T86" s="12"/>
      <c r="U86" s="12"/>
      <c r="V86" s="12"/>
      <c r="W86" s="12"/>
      <c r="X86" s="12"/>
      <c r="Y86" s="12"/>
    </row>
    <row r="87" spans="2:25" ht="16.5" customHeight="1" x14ac:dyDescent="0.4">
      <c r="B87" s="352"/>
      <c r="C87" s="35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226"/>
      <c r="Q87" s="226"/>
      <c r="R87" s="12"/>
      <c r="S87" s="12"/>
      <c r="T87" s="12"/>
      <c r="U87" s="12"/>
      <c r="V87" s="12"/>
      <c r="W87" s="12"/>
      <c r="X87" s="12"/>
      <c r="Y87" s="12"/>
    </row>
    <row r="88" spans="2:25" ht="16.5" customHeight="1" x14ac:dyDescent="0.4">
      <c r="D88" s="12"/>
      <c r="E88" s="12"/>
      <c r="F88" s="12"/>
      <c r="G88" s="12"/>
      <c r="H88" s="12"/>
      <c r="I88" s="12"/>
      <c r="J88" s="12"/>
      <c r="K88" s="12"/>
    </row>
    <row r="89" spans="2:25" ht="16.5" customHeight="1" thickBot="1" x14ac:dyDescent="0.45"/>
    <row r="90" spans="2:25" ht="16.5" customHeight="1" x14ac:dyDescent="0.4">
      <c r="D90" s="12"/>
      <c r="E90" s="12"/>
      <c r="F90" s="353"/>
      <c r="G90" s="323"/>
      <c r="H90" s="354"/>
      <c r="I90" s="11"/>
      <c r="J90" s="12"/>
    </row>
    <row r="91" spans="2:25" ht="16.5" customHeight="1" thickBot="1" x14ac:dyDescent="0.45">
      <c r="D91" s="12"/>
      <c r="E91" s="12"/>
      <c r="F91" s="355" t="s">
        <v>188</v>
      </c>
      <c r="G91" s="356"/>
      <c r="H91" s="357"/>
      <c r="I91" s="11"/>
      <c r="J91" s="12"/>
    </row>
    <row r="92" spans="2:25" ht="16.5" customHeight="1" x14ac:dyDescent="0.4">
      <c r="D92" s="12"/>
      <c r="E92" s="12"/>
      <c r="F92" s="12"/>
      <c r="G92" s="12"/>
      <c r="H92" s="12"/>
      <c r="I92" s="12"/>
      <c r="J92" s="12"/>
    </row>
    <row r="93" spans="2:25" ht="16.5" customHeight="1" x14ac:dyDescent="0.4">
      <c r="B93" s="650" t="s">
        <v>188</v>
      </c>
      <c r="C93" s="650"/>
      <c r="D93" s="12"/>
      <c r="E93" s="12"/>
      <c r="F93" s="12"/>
      <c r="G93" s="12"/>
      <c r="H93" s="650"/>
      <c r="I93" s="650"/>
      <c r="J93" s="650"/>
    </row>
    <row r="94" spans="2:25" ht="16.5" customHeight="1" thickBot="1" x14ac:dyDescent="0.45">
      <c r="B94" s="352"/>
      <c r="C94" s="352"/>
      <c r="D94" s="12"/>
      <c r="E94" s="12"/>
      <c r="F94" s="651"/>
      <c r="G94" s="651"/>
      <c r="H94" s="12"/>
      <c r="I94" s="12"/>
      <c r="J94" s="12"/>
      <c r="K94" s="12"/>
      <c r="L94" s="12"/>
      <c r="M94" s="12"/>
      <c r="N94" s="12"/>
      <c r="O94" s="360"/>
      <c r="P94" s="226"/>
      <c r="Q94" s="226"/>
      <c r="R94" s="12"/>
      <c r="S94" s="12"/>
      <c r="T94" s="12"/>
      <c r="U94" s="12"/>
      <c r="V94" s="12"/>
      <c r="W94" s="12"/>
      <c r="X94" s="12"/>
      <c r="Y94" s="360"/>
    </row>
    <row r="95" spans="2:25" ht="16.5" customHeight="1" thickBot="1" x14ac:dyDescent="0.45">
      <c r="B95" s="358"/>
      <c r="C95" s="359">
        <v>116000</v>
      </c>
      <c r="D95" s="12"/>
      <c r="E95" s="12"/>
      <c r="F95" s="12"/>
      <c r="G95" s="12"/>
      <c r="H95" s="12"/>
      <c r="I95" s="12"/>
      <c r="J95" s="360"/>
      <c r="K95" s="266"/>
      <c r="L95" s="357"/>
      <c r="M95" s="652"/>
      <c r="N95" s="653"/>
      <c r="O95" s="654"/>
      <c r="P95" s="363"/>
      <c r="Q95" s="363"/>
      <c r="R95" s="266"/>
      <c r="S95" s="266"/>
      <c r="T95" s="266"/>
      <c r="U95" s="266"/>
      <c r="V95" s="357"/>
      <c r="W95" s="652"/>
      <c r="X95" s="653"/>
      <c r="Y95" s="654"/>
    </row>
    <row r="96" spans="2:25" ht="16.5" customHeight="1" thickBot="1" x14ac:dyDescent="0.45">
      <c r="B96" s="361"/>
      <c r="C96" s="362"/>
      <c r="D96" s="12"/>
      <c r="E96" s="12"/>
      <c r="F96" s="266"/>
      <c r="G96" s="357"/>
      <c r="H96" s="652"/>
      <c r="I96" s="653"/>
      <c r="J96" s="654"/>
      <c r="K96" s="12"/>
      <c r="L96" s="12"/>
      <c r="M96" s="655"/>
      <c r="N96" s="656"/>
      <c r="O96" s="657"/>
      <c r="P96" s="226"/>
      <c r="Q96" s="226"/>
      <c r="R96" s="12"/>
      <c r="S96" s="12"/>
      <c r="T96" s="12"/>
      <c r="U96" s="12"/>
      <c r="V96" s="12"/>
      <c r="W96" s="655"/>
      <c r="X96" s="656"/>
      <c r="Y96" s="657"/>
    </row>
    <row r="97" spans="2:25" ht="16.5" customHeight="1" thickBot="1" x14ac:dyDescent="0.45">
      <c r="B97" s="364"/>
      <c r="C97" s="365"/>
      <c r="D97" s="12"/>
      <c r="E97" s="12"/>
      <c r="F97" s="12"/>
      <c r="G97" s="12"/>
      <c r="H97" s="655"/>
      <c r="I97" s="656"/>
      <c r="J97" s="657"/>
      <c r="K97" s="12"/>
      <c r="L97" s="12"/>
      <c r="M97" s="12"/>
      <c r="N97" s="12"/>
      <c r="O97" s="12"/>
      <c r="P97" s="226"/>
      <c r="Q97" s="226"/>
      <c r="R97" s="12"/>
      <c r="S97" s="12"/>
      <c r="T97" s="12"/>
      <c r="U97" s="12"/>
      <c r="V97" s="12"/>
      <c r="W97" s="12"/>
      <c r="X97" s="12"/>
      <c r="Y97" s="12"/>
    </row>
    <row r="98" spans="2:25" ht="16.5" customHeight="1" x14ac:dyDescent="0.4">
      <c r="B98" s="352"/>
      <c r="C98" s="35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226"/>
      <c r="Q98" s="226"/>
      <c r="R98" s="12"/>
      <c r="S98" s="12"/>
      <c r="T98" s="12"/>
      <c r="U98" s="12"/>
      <c r="V98" s="12"/>
      <c r="W98" s="12"/>
      <c r="X98" s="12"/>
      <c r="Y98" s="12"/>
    </row>
    <row r="99" spans="2:25" ht="16.5" customHeight="1" x14ac:dyDescent="0.4">
      <c r="B99" s="352"/>
      <c r="C99" s="352"/>
      <c r="D99" s="12"/>
      <c r="E99" s="12"/>
      <c r="F99" s="12"/>
      <c r="G99" s="12"/>
      <c r="H99" s="12"/>
      <c r="I99" s="12"/>
      <c r="J99" s="12"/>
    </row>
    <row r="100" spans="2:25" ht="16.5" customHeight="1" x14ac:dyDescent="0.4">
      <c r="B100" s="352"/>
      <c r="C100" s="352"/>
      <c r="D100" s="12"/>
      <c r="E100" s="12"/>
      <c r="F100" s="12"/>
      <c r="G100" s="12"/>
      <c r="H100" s="12"/>
      <c r="I100" s="12"/>
      <c r="J100" s="12"/>
    </row>
    <row r="101" spans="2:25" ht="16.5" customHeight="1" thickBot="1" x14ac:dyDescent="0.45"/>
    <row r="102" spans="2:25" ht="16.5" customHeight="1" x14ac:dyDescent="0.4">
      <c r="B102" s="352"/>
      <c r="C102" s="352"/>
      <c r="D102" s="12"/>
      <c r="E102" s="12"/>
      <c r="F102" s="353"/>
      <c r="G102" s="323"/>
      <c r="H102" s="354"/>
      <c r="I102" s="11"/>
      <c r="J102" s="12"/>
    </row>
    <row r="103" spans="2:25" ht="16.5" customHeight="1" thickBot="1" x14ac:dyDescent="0.45">
      <c r="B103" s="352"/>
      <c r="C103" s="352"/>
      <c r="D103" s="12"/>
      <c r="E103" s="12"/>
      <c r="F103" s="355" t="s">
        <v>189</v>
      </c>
      <c r="G103" s="356"/>
      <c r="H103" s="357"/>
      <c r="I103" s="11"/>
      <c r="J103" s="12"/>
    </row>
    <row r="104" spans="2:25" ht="16.5" customHeight="1" x14ac:dyDescent="0.4">
      <c r="B104" s="352"/>
      <c r="C104" s="352"/>
      <c r="D104" s="12"/>
      <c r="E104" s="12"/>
      <c r="F104" s="12"/>
      <c r="G104" s="12"/>
      <c r="H104" s="12"/>
      <c r="I104" s="12"/>
      <c r="J104" s="12"/>
    </row>
    <row r="105" spans="2:25" ht="16.5" customHeight="1" x14ac:dyDescent="0.4">
      <c r="B105" s="658" t="s">
        <v>189</v>
      </c>
      <c r="C105" s="658"/>
      <c r="D105" s="12"/>
      <c r="E105" s="12"/>
      <c r="F105" s="12"/>
      <c r="G105" s="12"/>
      <c r="H105" s="650"/>
      <c r="I105" s="650"/>
      <c r="J105" s="650"/>
    </row>
    <row r="106" spans="2:25" ht="16.5" customHeight="1" thickBot="1" x14ac:dyDescent="0.45">
      <c r="B106" s="352"/>
      <c r="C106" s="352"/>
      <c r="D106" s="12"/>
      <c r="E106" s="12"/>
      <c r="F106" s="651"/>
      <c r="G106" s="651"/>
      <c r="H106" s="12"/>
      <c r="I106" s="12"/>
      <c r="J106" s="12"/>
    </row>
    <row r="107" spans="2:25" ht="16.5" customHeight="1" thickBot="1" x14ac:dyDescent="0.45">
      <c r="B107" s="358"/>
      <c r="C107" s="359">
        <v>341000</v>
      </c>
      <c r="D107" s="12"/>
      <c r="E107" s="12"/>
      <c r="F107" s="12"/>
      <c r="G107" s="12"/>
      <c r="H107" s="12"/>
      <c r="I107" s="12"/>
      <c r="J107" s="360"/>
      <c r="K107" s="12"/>
      <c r="L107" s="12"/>
      <c r="M107" s="12"/>
      <c r="N107" s="12"/>
      <c r="O107" s="360"/>
      <c r="P107" s="226"/>
      <c r="Q107" s="226"/>
      <c r="R107" s="12"/>
      <c r="S107" s="12"/>
      <c r="T107" s="12"/>
      <c r="U107" s="12"/>
      <c r="V107" s="12"/>
      <c r="W107" s="12"/>
      <c r="X107" s="12"/>
      <c r="Y107" s="360"/>
    </row>
    <row r="108" spans="2:25" ht="16.5" customHeight="1" thickBot="1" x14ac:dyDescent="0.45">
      <c r="B108" s="361"/>
      <c r="C108" s="362"/>
      <c r="D108" s="12"/>
      <c r="E108" s="12"/>
      <c r="F108" s="266"/>
      <c r="G108" s="357"/>
      <c r="H108" s="652"/>
      <c r="I108" s="653"/>
      <c r="J108" s="654"/>
      <c r="K108" s="266"/>
      <c r="L108" s="357"/>
      <c r="M108" s="652"/>
      <c r="N108" s="653"/>
      <c r="O108" s="654"/>
      <c r="P108" s="363"/>
      <c r="Q108" s="363"/>
      <c r="R108" s="266"/>
      <c r="S108" s="266"/>
      <c r="T108" s="266"/>
      <c r="U108" s="266"/>
      <c r="V108" s="357"/>
      <c r="W108" s="652"/>
      <c r="X108" s="653"/>
      <c r="Y108" s="654"/>
    </row>
    <row r="109" spans="2:25" ht="16.5" customHeight="1" thickBot="1" x14ac:dyDescent="0.45">
      <c r="B109" s="364"/>
      <c r="C109" s="365"/>
      <c r="D109" s="12"/>
      <c r="E109" s="12"/>
      <c r="F109" s="12"/>
      <c r="G109" s="12"/>
      <c r="H109" s="655"/>
      <c r="I109" s="656"/>
      <c r="J109" s="657"/>
      <c r="K109" s="12"/>
      <c r="L109" s="12"/>
      <c r="M109" s="655"/>
      <c r="N109" s="656"/>
      <c r="O109" s="657"/>
      <c r="P109" s="226"/>
      <c r="Q109" s="226"/>
      <c r="R109" s="12"/>
      <c r="S109" s="12"/>
      <c r="T109" s="12"/>
      <c r="U109" s="12"/>
      <c r="V109" s="12"/>
      <c r="W109" s="655"/>
      <c r="X109" s="656"/>
      <c r="Y109" s="657"/>
    </row>
    <row r="110" spans="2:25" ht="16.5" customHeight="1" x14ac:dyDescent="0.4">
      <c r="B110" s="352"/>
      <c r="C110" s="35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226"/>
      <c r="Q110" s="226"/>
      <c r="R110" s="12"/>
      <c r="S110" s="12"/>
      <c r="T110" s="12"/>
      <c r="U110" s="12"/>
      <c r="V110" s="12"/>
      <c r="W110" s="12"/>
      <c r="X110" s="12"/>
      <c r="Y110" s="12"/>
    </row>
    <row r="111" spans="2:25" ht="16.5" customHeight="1" x14ac:dyDescent="0.4">
      <c r="B111" s="352"/>
      <c r="C111" s="35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226"/>
      <c r="Q111" s="226"/>
      <c r="R111" s="12"/>
      <c r="S111" s="12"/>
      <c r="T111" s="12"/>
      <c r="U111" s="12"/>
      <c r="V111" s="12"/>
      <c r="W111" s="12"/>
      <c r="X111" s="12"/>
      <c r="Y111" s="12"/>
    </row>
    <row r="112" spans="2:25" ht="16.5" customHeight="1" x14ac:dyDescent="0.4">
      <c r="B112" s="352"/>
      <c r="C112" s="352"/>
      <c r="D112" s="12"/>
      <c r="E112" s="12"/>
      <c r="F112" s="12"/>
      <c r="G112" s="12"/>
      <c r="H112" s="12"/>
      <c r="I112" s="12"/>
      <c r="J112" s="12"/>
    </row>
    <row r="113" spans="2:25" ht="16.5" customHeight="1" thickBot="1" x14ac:dyDescent="0.45"/>
    <row r="114" spans="2:25" ht="16.5" customHeight="1" x14ac:dyDescent="0.4">
      <c r="B114" s="352"/>
      <c r="C114" s="352"/>
      <c r="D114" s="12"/>
      <c r="E114" s="12"/>
      <c r="F114" s="353"/>
      <c r="G114" s="323"/>
      <c r="H114" s="354"/>
      <c r="I114" s="11"/>
      <c r="J114" s="12"/>
    </row>
    <row r="115" spans="2:25" ht="16.5" customHeight="1" thickBot="1" x14ac:dyDescent="0.45">
      <c r="B115" s="352"/>
      <c r="C115" s="352"/>
      <c r="D115" s="12"/>
      <c r="E115" s="12"/>
      <c r="F115" s="355" t="s">
        <v>190</v>
      </c>
      <c r="G115" s="356"/>
      <c r="H115" s="357"/>
      <c r="I115" s="11"/>
      <c r="J115" s="12"/>
    </row>
    <row r="116" spans="2:25" ht="16.5" customHeight="1" x14ac:dyDescent="0.4">
      <c r="B116" s="352"/>
      <c r="C116" s="352"/>
      <c r="D116" s="12"/>
      <c r="E116" s="12"/>
      <c r="F116" s="12"/>
      <c r="G116" s="12"/>
      <c r="H116" s="12"/>
      <c r="I116" s="12"/>
      <c r="J116" s="12"/>
    </row>
    <row r="117" spans="2:25" ht="16.5" customHeight="1" x14ac:dyDescent="0.4">
      <c r="B117" s="650" t="s">
        <v>190</v>
      </c>
      <c r="C117" s="650"/>
      <c r="D117" s="12"/>
      <c r="E117" s="12"/>
      <c r="F117" s="12"/>
      <c r="G117" s="12"/>
      <c r="H117" s="650"/>
      <c r="I117" s="650"/>
      <c r="J117" s="650"/>
    </row>
    <row r="118" spans="2:25" ht="16.5" customHeight="1" thickBot="1" x14ac:dyDescent="0.45">
      <c r="B118" s="352"/>
      <c r="C118" s="352"/>
      <c r="D118" s="12"/>
      <c r="E118" s="12"/>
      <c r="F118" s="651"/>
      <c r="G118" s="651"/>
      <c r="H118" s="12"/>
      <c r="I118" s="12"/>
      <c r="J118" s="12"/>
    </row>
    <row r="119" spans="2:25" ht="16.5" customHeight="1" thickBot="1" x14ac:dyDescent="0.45">
      <c r="B119" s="358"/>
      <c r="C119" s="359">
        <v>279000</v>
      </c>
      <c r="D119" s="12"/>
      <c r="E119" s="12"/>
      <c r="F119" s="12"/>
      <c r="G119" s="12"/>
      <c r="H119" s="12"/>
      <c r="I119" s="12"/>
      <c r="J119" s="360"/>
      <c r="K119" s="12"/>
      <c r="L119" s="12"/>
      <c r="M119" s="12"/>
      <c r="N119" s="12"/>
      <c r="O119" s="360"/>
      <c r="P119" s="226"/>
      <c r="Q119" s="226"/>
      <c r="R119" s="12"/>
      <c r="S119" s="12"/>
      <c r="T119" s="12"/>
      <c r="U119" s="12"/>
      <c r="V119" s="12"/>
      <c r="W119" s="12"/>
      <c r="X119" s="12"/>
      <c r="Y119" s="360"/>
    </row>
    <row r="120" spans="2:25" ht="16.5" customHeight="1" thickBot="1" x14ac:dyDescent="0.45">
      <c r="B120" s="361"/>
      <c r="C120" s="362"/>
      <c r="D120" s="12"/>
      <c r="E120" s="12"/>
      <c r="F120" s="266"/>
      <c r="G120" s="357"/>
      <c r="H120" s="652"/>
      <c r="I120" s="653"/>
      <c r="J120" s="654"/>
      <c r="K120" s="266"/>
      <c r="L120" s="357"/>
      <c r="M120" s="652"/>
      <c r="N120" s="653"/>
      <c r="O120" s="654"/>
      <c r="P120" s="363"/>
      <c r="Q120" s="363"/>
      <c r="R120" s="266"/>
      <c r="S120" s="266"/>
      <c r="T120" s="266"/>
      <c r="U120" s="266"/>
      <c r="V120" s="357"/>
      <c r="W120" s="652"/>
      <c r="X120" s="653"/>
      <c r="Y120" s="654"/>
    </row>
    <row r="121" spans="2:25" ht="16.5" customHeight="1" thickBot="1" x14ac:dyDescent="0.45">
      <c r="B121" s="364"/>
      <c r="C121" s="365"/>
      <c r="D121" s="12"/>
      <c r="E121" s="12"/>
      <c r="F121" s="12"/>
      <c r="G121" s="12"/>
      <c r="H121" s="655"/>
      <c r="I121" s="656"/>
      <c r="J121" s="657"/>
      <c r="K121" s="12"/>
      <c r="L121" s="12"/>
      <c r="M121" s="655"/>
      <c r="N121" s="656"/>
      <c r="O121" s="657"/>
      <c r="P121" s="226"/>
      <c r="Q121" s="226"/>
      <c r="R121" s="12"/>
      <c r="S121" s="12"/>
      <c r="T121" s="12"/>
      <c r="U121" s="12"/>
      <c r="V121" s="12"/>
      <c r="W121" s="655"/>
      <c r="X121" s="656"/>
      <c r="Y121" s="657"/>
    </row>
    <row r="122" spans="2:25" ht="16.5" customHeight="1" x14ac:dyDescent="0.4">
      <c r="B122" s="352"/>
      <c r="C122" s="35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226"/>
      <c r="Q122" s="226"/>
      <c r="R122" s="12"/>
      <c r="S122" s="12"/>
      <c r="T122" s="12"/>
      <c r="U122" s="12"/>
      <c r="V122" s="12"/>
      <c r="W122" s="12"/>
      <c r="X122" s="12"/>
      <c r="Y122" s="12"/>
    </row>
    <row r="123" spans="2:25" ht="16.5" customHeight="1" x14ac:dyDescent="0.4">
      <c r="B123" s="352"/>
      <c r="C123" s="35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226"/>
      <c r="Q123" s="226"/>
      <c r="R123" s="12"/>
      <c r="S123" s="12"/>
      <c r="T123" s="12"/>
      <c r="U123" s="12"/>
      <c r="V123" s="12"/>
      <c r="W123" s="12"/>
      <c r="X123" s="12"/>
      <c r="Y123" s="12"/>
    </row>
    <row r="124" spans="2:25" ht="16.5" customHeight="1" x14ac:dyDescent="0.4">
      <c r="B124" s="352"/>
      <c r="C124" s="352"/>
      <c r="D124" s="12"/>
      <c r="E124" s="12"/>
      <c r="F124" s="12"/>
      <c r="G124" s="12"/>
      <c r="H124" s="12"/>
      <c r="I124" s="12"/>
      <c r="J124" s="12"/>
    </row>
  </sheetData>
  <mergeCells count="132">
    <mergeCell ref="B2:G2"/>
    <mergeCell ref="M6:O6"/>
    <mergeCell ref="W6:Y6"/>
    <mergeCell ref="AB6:AD6"/>
    <mergeCell ref="B9:C9"/>
    <mergeCell ref="H9:J9"/>
    <mergeCell ref="M9:O9"/>
    <mergeCell ref="R9:T9"/>
    <mergeCell ref="W9:Y9"/>
    <mergeCell ref="AB9:AD9"/>
    <mergeCell ref="AG9:AI9"/>
    <mergeCell ref="F10:G10"/>
    <mergeCell ref="K10:L10"/>
    <mergeCell ref="U10:V10"/>
    <mergeCell ref="W10:Y10"/>
    <mergeCell ref="Z10:AA10"/>
    <mergeCell ref="AG10:AI10"/>
    <mergeCell ref="H12:J13"/>
    <mergeCell ref="M12:O13"/>
    <mergeCell ref="R12:T13"/>
    <mergeCell ref="AB12:AD13"/>
    <mergeCell ref="X17:Z17"/>
    <mergeCell ref="M18:O18"/>
    <mergeCell ref="R18:T18"/>
    <mergeCell ref="W18:Y18"/>
    <mergeCell ref="AB18:AD18"/>
    <mergeCell ref="H21:J21"/>
    <mergeCell ref="M21:O21"/>
    <mergeCell ref="W21:Y21"/>
    <mergeCell ref="AB21:AD21"/>
    <mergeCell ref="B22:C22"/>
    <mergeCell ref="F22:G22"/>
    <mergeCell ref="K22:L22"/>
    <mergeCell ref="R22:T22"/>
    <mergeCell ref="Z22:AA22"/>
    <mergeCell ref="AB22:AD22"/>
    <mergeCell ref="H24:J25"/>
    <mergeCell ref="M24:O25"/>
    <mergeCell ref="W24:Y25"/>
    <mergeCell ref="AB24:AD25"/>
    <mergeCell ref="M30:O30"/>
    <mergeCell ref="R30:T30"/>
    <mergeCell ref="W30:Y30"/>
    <mergeCell ref="AG33:AI33"/>
    <mergeCell ref="F34:G34"/>
    <mergeCell ref="K34:L34"/>
    <mergeCell ref="P34:Q34"/>
    <mergeCell ref="R34:T34"/>
    <mergeCell ref="Z34:AA34"/>
    <mergeCell ref="AG34:AI34"/>
    <mergeCell ref="W36:Y37"/>
    <mergeCell ref="M42:O42"/>
    <mergeCell ref="R42:T42"/>
    <mergeCell ref="W42:Y42"/>
    <mergeCell ref="H33:J33"/>
    <mergeCell ref="M33:O33"/>
    <mergeCell ref="W33:Y33"/>
    <mergeCell ref="F46:G46"/>
    <mergeCell ref="K46:L46"/>
    <mergeCell ref="P46:Q46"/>
    <mergeCell ref="R46:T46"/>
    <mergeCell ref="H36:J37"/>
    <mergeCell ref="M36:O37"/>
    <mergeCell ref="Z46:AA46"/>
    <mergeCell ref="AB46:AD46"/>
    <mergeCell ref="H48:J49"/>
    <mergeCell ref="M48:O49"/>
    <mergeCell ref="W48:Y49"/>
    <mergeCell ref="H45:J45"/>
    <mergeCell ref="M45:O45"/>
    <mergeCell ref="W45:Y45"/>
    <mergeCell ref="M54:O54"/>
    <mergeCell ref="R54:T54"/>
    <mergeCell ref="W54:Y54"/>
    <mergeCell ref="AB57:AD57"/>
    <mergeCell ref="AG57:AI57"/>
    <mergeCell ref="AB54:AD54"/>
    <mergeCell ref="F58:G58"/>
    <mergeCell ref="K58:L58"/>
    <mergeCell ref="U58:V58"/>
    <mergeCell ref="W58:Y58"/>
    <mergeCell ref="AG58:AI58"/>
    <mergeCell ref="H57:J57"/>
    <mergeCell ref="M57:O57"/>
    <mergeCell ref="R57:T57"/>
    <mergeCell ref="W57:Y57"/>
    <mergeCell ref="H60:J61"/>
    <mergeCell ref="M60:O61"/>
    <mergeCell ref="R60:T61"/>
    <mergeCell ref="W60:Y61"/>
    <mergeCell ref="AB60:AD61"/>
    <mergeCell ref="AG60:AI61"/>
    <mergeCell ref="M66:O66"/>
    <mergeCell ref="R66:T66"/>
    <mergeCell ref="W66:Y66"/>
    <mergeCell ref="H69:J69"/>
    <mergeCell ref="M69:O69"/>
    <mergeCell ref="R69:T69"/>
    <mergeCell ref="W69:Y69"/>
    <mergeCell ref="F70:G70"/>
    <mergeCell ref="K70:L70"/>
    <mergeCell ref="R70:T70"/>
    <mergeCell ref="Z70:AA70"/>
    <mergeCell ref="AB70:AD70"/>
    <mergeCell ref="H72:J73"/>
    <mergeCell ref="M72:O73"/>
    <mergeCell ref="R72:T73"/>
    <mergeCell ref="W72:Y73"/>
    <mergeCell ref="B81:C81"/>
    <mergeCell ref="H81:J81"/>
    <mergeCell ref="F82:G82"/>
    <mergeCell ref="H84:J85"/>
    <mergeCell ref="M84:O85"/>
    <mergeCell ref="W84:Y85"/>
    <mergeCell ref="B93:C93"/>
    <mergeCell ref="H93:J93"/>
    <mergeCell ref="F94:G94"/>
    <mergeCell ref="M95:O96"/>
    <mergeCell ref="W95:Y96"/>
    <mergeCell ref="H96:J97"/>
    <mergeCell ref="B105:C105"/>
    <mergeCell ref="H105:J105"/>
    <mergeCell ref="F106:G106"/>
    <mergeCell ref="H108:J109"/>
    <mergeCell ref="M108:O109"/>
    <mergeCell ref="W108:Y109"/>
    <mergeCell ref="B117:C117"/>
    <mergeCell ref="H117:J117"/>
    <mergeCell ref="F118:G118"/>
    <mergeCell ref="H120:J121"/>
    <mergeCell ref="M120:O121"/>
    <mergeCell ref="W120:Y121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I178"/>
  <sheetViews>
    <sheetView topLeftCell="B10" zoomScale="60" zoomScaleNormal="60" workbookViewId="0">
      <selection activeCell="Z26" sqref="Z26"/>
    </sheetView>
  </sheetViews>
  <sheetFormatPr defaultRowHeight="13.15" x14ac:dyDescent="0.4"/>
  <cols>
    <col min="4" max="8" width="7.265625" customWidth="1"/>
    <col min="9" max="9" width="6.73046875" customWidth="1"/>
    <col min="10" max="12" width="5.86328125" customWidth="1"/>
    <col min="13" max="13" width="6.73046875" style="13" customWidth="1"/>
    <col min="14" max="14" width="7.3984375" customWidth="1"/>
    <col min="15" max="15" width="4.1328125" customWidth="1"/>
    <col min="16" max="16" width="3.73046875" customWidth="1"/>
    <col min="17" max="17" width="3" customWidth="1"/>
    <col min="18" max="18" width="4.3984375" customWidth="1"/>
    <col min="19" max="19" width="4.1328125" customWidth="1"/>
    <col min="20" max="20" width="3.86328125" customWidth="1"/>
    <col min="21" max="27" width="4" customWidth="1"/>
    <col min="28" max="28" width="6.59765625" customWidth="1"/>
    <col min="29" max="29" width="7.73046875" customWidth="1"/>
    <col min="30" max="30" width="11.3984375" customWidth="1"/>
    <col min="31" max="31" width="11.1328125" customWidth="1"/>
    <col min="32" max="33" width="8.86328125" customWidth="1"/>
    <col min="34" max="34" width="10.59765625" style="1" customWidth="1"/>
    <col min="35" max="35" width="9.59765625" style="1" customWidth="1"/>
    <col min="36" max="36" width="8.86328125" customWidth="1"/>
    <col min="56" max="56" width="13.1328125" customWidth="1"/>
  </cols>
  <sheetData>
    <row r="2" spans="2:57" ht="15" x14ac:dyDescent="0.4">
      <c r="B2" s="13"/>
      <c r="C2" s="20"/>
      <c r="D2" s="20"/>
      <c r="E2" s="20"/>
      <c r="F2" s="20"/>
      <c r="G2" s="22" t="s">
        <v>191</v>
      </c>
      <c r="S2" s="366" t="s">
        <v>192</v>
      </c>
      <c r="AD2" s="10"/>
      <c r="AE2" s="10"/>
      <c r="AF2" s="10"/>
      <c r="AG2" s="10"/>
      <c r="AH2" s="5" t="s">
        <v>191</v>
      </c>
      <c r="AJ2" s="1"/>
      <c r="AK2" s="367"/>
      <c r="AL2" s="367"/>
      <c r="AM2" s="367"/>
      <c r="AN2" s="367"/>
      <c r="AO2" s="367"/>
    </row>
    <row r="3" spans="2:57" ht="15.4" thickBot="1" x14ac:dyDescent="0.45">
      <c r="B3" s="263">
        <f>AY22+AY26+AY32+AY36+AY42+AY46+AY52+AY56+AY62+AY66+AY70+AY74+AY80+AY84+AY90+AY96+AY102+AY108+AY112+AY118+AY124+AY128+AY134+AY138+AY144+AY148+AY154+AY160+AY164+AY168</f>
        <v>0</v>
      </c>
      <c r="C3" s="368"/>
      <c r="D3" s="369">
        <v>900</v>
      </c>
      <c r="E3" s="20"/>
      <c r="F3" s="20"/>
      <c r="G3" s="22"/>
      <c r="H3" s="370"/>
      <c r="I3" t="s">
        <v>193</v>
      </c>
      <c r="AC3" s="371">
        <f>AC16+AC20+AC26+AC30+AC36+AC40+AC46+AC50+AC56+AC60+AC64+AC68+AC74+AC78+AC84+AC90+AC96+AC102+AC106+AC112+AC118+AC122+AC128+AC132+AC138+AC142+AC148+AC154+AC158+AC162</f>
        <v>153</v>
      </c>
      <c r="AD3" s="372"/>
      <c r="AE3" s="371">
        <f>AB12</f>
        <v>136620</v>
      </c>
      <c r="AF3" s="10"/>
      <c r="AG3" s="10"/>
      <c r="AH3" s="5"/>
      <c r="AJ3" s="1" t="s">
        <v>194</v>
      </c>
      <c r="AK3" s="367" t="s">
        <v>195</v>
      </c>
      <c r="AL3" s="367" t="s">
        <v>196</v>
      </c>
      <c r="AM3" s="367"/>
      <c r="AN3" s="367"/>
      <c r="AO3" s="367"/>
      <c r="BE3" s="13"/>
    </row>
    <row r="4" spans="2:57" ht="13.5" thickBot="1" x14ac:dyDescent="0.45">
      <c r="B4" s="13"/>
      <c r="C4" s="373">
        <v>20</v>
      </c>
      <c r="D4" s="374"/>
      <c r="E4" s="375"/>
      <c r="F4" s="376"/>
      <c r="G4" s="377">
        <f>D3*F5*8.76/1000</f>
        <v>6.3071999999999999</v>
      </c>
      <c r="H4" s="370"/>
      <c r="I4" t="s">
        <v>197</v>
      </c>
      <c r="AD4" s="378">
        <f>SUM(AD17,AD21,AD27,AD31,AD37,AD41,AD47,AD51,AD57,AD61,AD65,AD69,AD75,AD79,AD85,AD91,AD97,AD103,AD107,AD113,AD119,AD123,AD129,AD133,AD139,AD143,AD149,AD155,AD159,AD163)</f>
        <v>2919.6137569285715</v>
      </c>
      <c r="AE4" s="374"/>
      <c r="AF4" s="375"/>
      <c r="AG4" s="376"/>
      <c r="AH4" s="379">
        <f>AJ15</f>
        <v>901.60556759999986</v>
      </c>
      <c r="AJ4" s="265"/>
      <c r="AK4" s="380"/>
      <c r="AL4" s="381"/>
      <c r="AM4" s="382"/>
      <c r="AN4" s="383"/>
      <c r="AO4" s="367" t="s">
        <v>198</v>
      </c>
      <c r="BE4" s="13"/>
    </row>
    <row r="5" spans="2:57" ht="13.5" thickBot="1" x14ac:dyDescent="0.45">
      <c r="B5" s="13"/>
      <c r="C5" s="20"/>
      <c r="D5" s="384"/>
      <c r="E5" s="250"/>
      <c r="F5" s="385">
        <v>0.8</v>
      </c>
      <c r="G5" s="22"/>
      <c r="H5" s="29"/>
      <c r="AD5" s="10"/>
      <c r="AE5" s="384"/>
      <c r="AF5" s="250"/>
      <c r="AG5" s="385">
        <f>1000*AH4/(AE3*8.76)</f>
        <v>0.75335243741765467</v>
      </c>
      <c r="AH5" s="5"/>
      <c r="AJ5" s="1"/>
      <c r="AK5" s="367"/>
      <c r="AL5" s="386" t="s">
        <v>199</v>
      </c>
      <c r="AM5" s="387" t="s">
        <v>200</v>
      </c>
      <c r="AN5" s="380" t="s">
        <v>201</v>
      </c>
      <c r="AO5" s="367"/>
      <c r="AY5" s="13"/>
      <c r="AZ5" s="13"/>
      <c r="BA5" s="13"/>
      <c r="BB5" s="13"/>
      <c r="BC5" s="13"/>
      <c r="BD5" s="13"/>
      <c r="BE5" s="13"/>
    </row>
    <row r="6" spans="2:57" ht="13.5" thickBot="1" x14ac:dyDescent="0.45">
      <c r="B6" s="13"/>
      <c r="C6" s="20"/>
      <c r="D6" s="20"/>
      <c r="E6" s="20"/>
      <c r="F6" s="20"/>
      <c r="G6" s="22"/>
      <c r="H6" s="157"/>
      <c r="Y6" s="746" t="s">
        <v>202</v>
      </c>
      <c r="Z6" s="747"/>
      <c r="AA6" s="748"/>
      <c r="AC6" s="388" t="s">
        <v>202</v>
      </c>
      <c r="AD6" s="10"/>
      <c r="AE6" s="10"/>
      <c r="AF6" s="10"/>
      <c r="AG6" s="10"/>
      <c r="AH6" s="5"/>
      <c r="AJ6" s="1"/>
      <c r="AK6" s="367"/>
      <c r="AL6" s="367"/>
      <c r="AM6" s="367"/>
      <c r="AN6" s="367"/>
      <c r="AO6" s="367"/>
      <c r="AY6" s="13"/>
      <c r="AZ6" s="13"/>
      <c r="BA6" s="13"/>
      <c r="BB6" s="13"/>
      <c r="BC6" s="13"/>
      <c r="BD6" s="13"/>
      <c r="BE6" s="13"/>
    </row>
    <row r="7" spans="2:57" ht="13.5" thickBot="1" x14ac:dyDescent="0.45">
      <c r="B7" s="13"/>
      <c r="C7" s="389">
        <f>G4/C4</f>
        <v>0.31535999999999997</v>
      </c>
      <c r="D7" s="20"/>
      <c r="E7" s="20"/>
      <c r="F7" s="20"/>
      <c r="G7" s="22"/>
      <c r="H7" s="157"/>
      <c r="S7" s="390"/>
      <c r="V7" t="s">
        <v>203</v>
      </c>
      <c r="Y7" s="746" t="s">
        <v>204</v>
      </c>
      <c r="Z7" s="747"/>
      <c r="AA7" s="748"/>
      <c r="AC7" s="391"/>
      <c r="AD7" s="392">
        <f>AH4/AD4</f>
        <v>0.30880987783414449</v>
      </c>
      <c r="AE7" s="10"/>
      <c r="AF7" s="10"/>
      <c r="AG7" s="10"/>
      <c r="AH7" s="5"/>
      <c r="AJ7" s="1"/>
      <c r="AK7" s="1"/>
      <c r="AL7" s="1"/>
      <c r="AM7" s="1"/>
      <c r="AN7" s="1"/>
      <c r="AO7" s="1"/>
      <c r="AY7" s="13"/>
      <c r="AZ7" s="13"/>
      <c r="BA7" s="13"/>
      <c r="BB7" s="13"/>
      <c r="BC7" s="13"/>
      <c r="BD7" s="13"/>
      <c r="BE7" s="13"/>
    </row>
    <row r="8" spans="2:57" ht="40.5" customHeight="1" x14ac:dyDescent="0.4">
      <c r="B8" s="13"/>
      <c r="C8" s="393"/>
      <c r="D8" s="11"/>
      <c r="E8" s="11"/>
      <c r="F8" s="11"/>
      <c r="G8" s="8"/>
      <c r="H8" s="157"/>
      <c r="P8" t="s">
        <v>205</v>
      </c>
      <c r="R8" s="394"/>
      <c r="S8" s="394">
        <f>20*4</f>
        <v>80</v>
      </c>
      <c r="T8" s="394">
        <v>3</v>
      </c>
      <c r="U8" s="394">
        <v>20</v>
      </c>
      <c r="V8" s="395">
        <v>33</v>
      </c>
      <c r="W8" s="394"/>
      <c r="X8" s="395">
        <f>X9*4</f>
        <v>2400</v>
      </c>
      <c r="Y8" s="395">
        <f>Y9*8</f>
        <v>1809.6539519999999</v>
      </c>
      <c r="Z8" s="395">
        <f>Z9*8</f>
        <v>2737.7159314285714</v>
      </c>
      <c r="AA8" s="395">
        <f>AA9*8</f>
        <v>13472</v>
      </c>
      <c r="AB8" s="394">
        <f>SUM(R8:AA8)</f>
        <v>20555.369883428571</v>
      </c>
      <c r="AC8" s="396">
        <f>SUM(Y8:AA8)</f>
        <v>18019.369883428571</v>
      </c>
      <c r="AD8" s="397"/>
      <c r="AE8" s="12"/>
      <c r="AF8" s="12"/>
      <c r="AG8" s="12"/>
      <c r="AH8" s="352"/>
      <c r="AI8" s="352"/>
      <c r="AJ8" s="1"/>
      <c r="AK8" s="1"/>
      <c r="AL8" s="1"/>
      <c r="AM8" s="1"/>
      <c r="AN8" s="1"/>
      <c r="AO8" s="1"/>
      <c r="AY8" s="13"/>
      <c r="AZ8" s="13"/>
      <c r="BA8" s="13"/>
      <c r="BB8" s="13"/>
      <c r="BC8" s="13"/>
      <c r="BD8" s="13"/>
      <c r="BE8" s="13"/>
    </row>
    <row r="9" spans="2:57" s="398" customFormat="1" ht="36.75" customHeight="1" thickBot="1" x14ac:dyDescent="0.4">
      <c r="B9" s="276"/>
      <c r="C9" s="399"/>
      <c r="D9" s="281"/>
      <c r="E9" s="281"/>
      <c r="F9" s="281"/>
      <c r="G9" s="281"/>
      <c r="H9" s="300"/>
      <c r="M9" s="276"/>
      <c r="P9" s="398" t="s">
        <v>205</v>
      </c>
      <c r="R9" s="400">
        <f>M90</f>
        <v>1E-4</v>
      </c>
      <c r="S9" s="400">
        <f>M74</f>
        <v>20.415179999999999</v>
      </c>
      <c r="T9" s="400">
        <f>M58</f>
        <v>2.9935839999999998</v>
      </c>
      <c r="U9" s="400">
        <f>M74</f>
        <v>20.415179999999999</v>
      </c>
      <c r="V9" s="400">
        <f>M50</f>
        <v>32.896720000000002</v>
      </c>
      <c r="W9" s="400">
        <f>M34</f>
        <v>0</v>
      </c>
      <c r="X9" s="400">
        <f>M42</f>
        <v>600</v>
      </c>
      <c r="Y9" s="401">
        <f>M66</f>
        <v>226.20674399999999</v>
      </c>
      <c r="Z9" s="402">
        <f>M26</f>
        <v>342.21449142857142</v>
      </c>
      <c r="AA9" s="402">
        <f>M18</f>
        <v>1684</v>
      </c>
      <c r="AB9" s="403">
        <f>SUM(R9:AA9)</f>
        <v>2929.1419994285716</v>
      </c>
      <c r="AC9" s="396">
        <f>SUM(Y9:AA9)</f>
        <v>2252.4212354285714</v>
      </c>
      <c r="AE9" s="404"/>
      <c r="AF9" s="404"/>
      <c r="AG9" s="404"/>
      <c r="AH9" s="404"/>
      <c r="AY9" s="276"/>
      <c r="AZ9" s="276"/>
      <c r="BA9" s="276"/>
      <c r="BB9" s="276"/>
      <c r="BC9" s="276"/>
      <c r="BD9" s="276"/>
      <c r="BE9" s="276"/>
    </row>
    <row r="10" spans="2:57" s="405" customFormat="1" ht="44.25" customHeight="1" x14ac:dyDescent="0.35">
      <c r="H10" s="300"/>
      <c r="M10" s="403"/>
      <c r="P10" s="405" t="s">
        <v>206</v>
      </c>
      <c r="T10" s="405">
        <f>SUM(AC68)</f>
        <v>1</v>
      </c>
      <c r="U10" s="405">
        <f>SUM(AC90)</f>
        <v>1</v>
      </c>
      <c r="V10" s="405">
        <f>SUM(AC96)</f>
        <v>2</v>
      </c>
      <c r="W10" s="405">
        <f>SUM(AC154)</f>
        <v>4</v>
      </c>
      <c r="X10" s="405">
        <f>SUM(AC158)</f>
        <v>14</v>
      </c>
      <c r="Y10" s="406">
        <f>SUM(AC26,AC30,AC36,AC40,AC46,AC84,AC102,AC106)</f>
        <v>21</v>
      </c>
      <c r="Z10" s="407">
        <f>SUM(AC50,AC78,AC122,AC132,AC142)</f>
        <v>18</v>
      </c>
      <c r="AA10" s="408">
        <f>SUM(AC16,AC20,AC56,AC60,AC64,AC74,AC112,AC118,AC128,AC138,AC148,AC162)</f>
        <v>92</v>
      </c>
      <c r="AB10" s="405">
        <f>SUM(T10:AA10)</f>
        <v>153</v>
      </c>
      <c r="AC10" s="396">
        <f>SUM(Y10:AA10)</f>
        <v>131</v>
      </c>
      <c r="AY10" s="276"/>
      <c r="AZ10" s="276"/>
      <c r="BA10" s="276"/>
      <c r="BB10" s="276"/>
      <c r="BC10" s="276"/>
      <c r="BD10" s="276"/>
      <c r="BE10" s="403"/>
    </row>
    <row r="11" spans="2:57" s="405" customFormat="1" ht="45.75" customHeight="1" x14ac:dyDescent="0.35">
      <c r="B11" s="749" t="s">
        <v>207</v>
      </c>
      <c r="C11" s="749"/>
      <c r="D11" s="749"/>
      <c r="E11" s="749"/>
      <c r="F11" s="749"/>
      <c r="M11" s="403"/>
      <c r="P11" s="405" t="s">
        <v>208</v>
      </c>
      <c r="Q11" s="409"/>
      <c r="R11" s="410">
        <f>AH169</f>
        <v>0</v>
      </c>
      <c r="S11" s="410">
        <v>0</v>
      </c>
      <c r="T11" s="410">
        <f>AH69</f>
        <v>0.89807519999999996</v>
      </c>
      <c r="U11" s="410">
        <f>SUM(AH91)</f>
        <v>6.1245539999999998</v>
      </c>
      <c r="V11" s="410">
        <f>SUM(AH97)</f>
        <v>9.8690160000000002</v>
      </c>
      <c r="W11" s="410">
        <f>SUM(AH155)</f>
        <v>10.652510399999999</v>
      </c>
      <c r="X11" s="410">
        <f>SUM(AH159)</f>
        <v>51.662099999999995</v>
      </c>
      <c r="Y11" s="411">
        <f>SUM(AH27,AH31,AH37,AH41,AH47,AH85,AH103,AH107)</f>
        <v>71.152224000000004</v>
      </c>
      <c r="Z11" s="412">
        <f>SUM(AH51,AH79,AH123,AH133,AH143)</f>
        <v>124.17107279999999</v>
      </c>
      <c r="AA11" s="413">
        <f>SUM(AH17,AH21,AH57,AH61,AH65,AH75,AH113,AH119,AH129,AH139,AH149,AH163)</f>
        <v>627.0760151999998</v>
      </c>
      <c r="AB11" s="414">
        <f>SUM(R11:AA11)</f>
        <v>901.60556759999986</v>
      </c>
      <c r="AC11" s="415">
        <f>SUM(Y11:AA11)</f>
        <v>822.39931199999978</v>
      </c>
      <c r="AD11" s="416"/>
      <c r="AE11" s="416"/>
      <c r="AF11" s="416"/>
      <c r="AX11" s="276"/>
      <c r="AY11" s="276"/>
      <c r="AZ11" s="276"/>
      <c r="BA11" s="276"/>
      <c r="BB11" s="276"/>
      <c r="BC11" s="276"/>
      <c r="BD11" s="276"/>
      <c r="BE11" s="403"/>
    </row>
    <row r="12" spans="2:57" s="404" customFormat="1" ht="58.5" customHeight="1" x14ac:dyDescent="0.35">
      <c r="B12" s="749"/>
      <c r="C12" s="749"/>
      <c r="D12" s="749"/>
      <c r="E12" s="749"/>
      <c r="F12" s="749"/>
      <c r="G12" s="404">
        <f>900*0.8*8.76/1000/160</f>
        <v>3.9419999999999997E-2</v>
      </c>
      <c r="N12" s="417">
        <f>SUM(M18,M26,M34,M42,M50,M58,M66,M74,M82,M90)</f>
        <v>2908.7269194285718</v>
      </c>
      <c r="O12" s="405" t="s">
        <v>209</v>
      </c>
      <c r="P12" s="405" t="s">
        <v>10</v>
      </c>
      <c r="Q12" s="409"/>
      <c r="R12" s="409">
        <f>SUM(AH169)</f>
        <v>0</v>
      </c>
      <c r="S12" s="409"/>
      <c r="T12" s="409">
        <f>SUM(AE68)</f>
        <v>233</v>
      </c>
      <c r="U12" s="409">
        <f>SUM(AE90)</f>
        <v>1185</v>
      </c>
      <c r="V12" s="409">
        <f>SUM(AE96)</f>
        <v>1310</v>
      </c>
      <c r="W12" s="409">
        <f>SUM(AE154)</f>
        <v>1414</v>
      </c>
      <c r="X12" s="409">
        <f>SUM(AE158)</f>
        <v>8425</v>
      </c>
      <c r="Y12" s="418">
        <f>SUM(AE26,AE30,AE36,AE40,AE46,AE84,AE102,AE106)</f>
        <v>11054</v>
      </c>
      <c r="Z12" s="419">
        <f>SUM(AE50,AE78,AE122,AE132,AE142)</f>
        <v>17350</v>
      </c>
      <c r="AA12" s="420">
        <f>SUM(AE16,AE20,AE56,AE60,AE64,AE74,AE112,AE118,AE128,AE138,AE148,AE162)</f>
        <v>95649</v>
      </c>
      <c r="AB12" s="421">
        <f>SUM(T12:AA12)</f>
        <v>136620</v>
      </c>
      <c r="AC12" s="415">
        <f>SUM(Y12:AA12)</f>
        <v>124053</v>
      </c>
      <c r="AD12" s="422"/>
      <c r="AE12" s="422"/>
      <c r="AF12" s="422"/>
      <c r="AJ12" s="423" t="s">
        <v>208</v>
      </c>
      <c r="AX12" s="281"/>
      <c r="AY12" s="281"/>
      <c r="AZ12" s="281"/>
      <c r="BA12" s="281"/>
      <c r="BB12" s="281"/>
      <c r="BC12" s="281"/>
      <c r="BD12" s="281"/>
      <c r="BE12" s="281"/>
    </row>
    <row r="13" spans="2:57" s="398" customFormat="1" ht="61.5" customHeight="1" thickBot="1" x14ac:dyDescent="0.4">
      <c r="B13" s="276"/>
      <c r="M13" s="276"/>
      <c r="R13" s="405" t="s">
        <v>81</v>
      </c>
      <c r="S13" s="405" t="s">
        <v>210</v>
      </c>
      <c r="T13" s="405" t="s">
        <v>211</v>
      </c>
      <c r="U13" s="405" t="s">
        <v>212</v>
      </c>
      <c r="V13" s="405" t="s">
        <v>213</v>
      </c>
      <c r="W13" s="405" t="s">
        <v>214</v>
      </c>
      <c r="X13" s="405" t="s">
        <v>215</v>
      </c>
      <c r="Y13" s="424" t="s">
        <v>216</v>
      </c>
      <c r="Z13" s="425" t="s">
        <v>217</v>
      </c>
      <c r="AA13" s="426" t="s">
        <v>218</v>
      </c>
      <c r="AB13" s="427" t="s">
        <v>219</v>
      </c>
      <c r="AJ13" s="423" t="s">
        <v>219</v>
      </c>
      <c r="AX13" s="276"/>
      <c r="AY13" s="276"/>
      <c r="AZ13" s="276"/>
      <c r="BA13" s="276"/>
      <c r="BB13" s="276"/>
      <c r="BC13" s="276"/>
      <c r="BD13" s="276"/>
      <c r="BE13" s="276"/>
    </row>
    <row r="14" spans="2:57" ht="13.5" thickBot="1" x14ac:dyDescent="0.45">
      <c r="B14" s="13"/>
      <c r="H14" s="13"/>
      <c r="N14" s="13"/>
      <c r="AL14">
        <v>1</v>
      </c>
      <c r="AM14" t="s">
        <v>220</v>
      </c>
      <c r="AX14" s="13"/>
      <c r="AY14" s="13"/>
      <c r="AZ14" s="13"/>
      <c r="BA14" s="13"/>
      <c r="BB14" s="13"/>
      <c r="BC14" s="13"/>
      <c r="BD14" s="13"/>
      <c r="BE14" s="13"/>
    </row>
    <row r="15" spans="2:57" x14ac:dyDescent="0.4">
      <c r="E15" s="428" t="s">
        <v>221</v>
      </c>
      <c r="F15" s="428"/>
      <c r="H15" s="13"/>
      <c r="J15" s="428" t="s">
        <v>21</v>
      </c>
      <c r="K15" s="428"/>
      <c r="N15" s="13"/>
      <c r="O15" s="13"/>
      <c r="P15" s="13"/>
      <c r="Q15" s="429"/>
      <c r="R15" s="429"/>
      <c r="S15" s="430"/>
      <c r="T15" s="429"/>
      <c r="U15" s="429"/>
      <c r="V15" s="429"/>
      <c r="W15" s="429"/>
      <c r="X15" s="430"/>
      <c r="Y15" s="142"/>
      <c r="Z15" s="431"/>
      <c r="AA15" s="224"/>
      <c r="AB15" s="432"/>
      <c r="AD15" s="294"/>
      <c r="AE15" s="294"/>
      <c r="AF15" s="294"/>
      <c r="AG15" s="294"/>
      <c r="AH15" s="433" t="s">
        <v>222</v>
      </c>
      <c r="AJ15" s="434">
        <f>AI19+AI29+AI39+AI49+AI63+AI77+AI85+AI91+AI97+AI105+AI113+AI121+AI131+AI141+AI149+AI159+AI169</f>
        <v>901.60556759999986</v>
      </c>
      <c r="AL15">
        <f>AL14*3660</f>
        <v>3660</v>
      </c>
      <c r="AM15" t="s">
        <v>223</v>
      </c>
      <c r="AX15" s="13"/>
      <c r="AY15" s="13"/>
      <c r="AZ15" s="13"/>
      <c r="BA15" s="13"/>
      <c r="BB15" s="13"/>
      <c r="BC15" s="13"/>
      <c r="BD15" s="13"/>
      <c r="BE15" s="13"/>
    </row>
    <row r="16" spans="2:57" ht="13.5" thickBot="1" x14ac:dyDescent="0.45">
      <c r="D16" s="428"/>
      <c r="E16" s="428"/>
      <c r="F16" s="428"/>
      <c r="G16" s="428"/>
      <c r="H16" s="224"/>
      <c r="I16" s="428"/>
      <c r="J16" s="428"/>
      <c r="K16" s="428"/>
      <c r="L16" s="428"/>
      <c r="M16" s="224"/>
      <c r="N16" s="13"/>
      <c r="O16" s="13"/>
      <c r="P16" s="13"/>
      <c r="Q16" s="429"/>
      <c r="R16" s="429"/>
      <c r="S16" s="430"/>
      <c r="T16" s="429"/>
      <c r="U16" s="429"/>
      <c r="V16" s="429"/>
      <c r="W16" s="429"/>
      <c r="X16" s="430"/>
      <c r="Y16" s="155"/>
      <c r="Z16" s="435"/>
      <c r="AA16" s="224"/>
      <c r="AB16" s="432"/>
      <c r="AC16">
        <f>[4]Belgium!B14</f>
        <v>3</v>
      </c>
      <c r="AD16" s="294" t="str">
        <f>[4]Belgium!C14</f>
        <v>PWR400</v>
      </c>
      <c r="AE16" s="294">
        <f>[4]Belgium!D14</f>
        <v>785</v>
      </c>
      <c r="AF16" s="294"/>
      <c r="AG16" s="294"/>
      <c r="AH16" s="367"/>
      <c r="AJ16" s="430"/>
      <c r="AL16">
        <f>AL15/1000</f>
        <v>3.66</v>
      </c>
      <c r="AM16" t="s">
        <v>224</v>
      </c>
      <c r="AX16" s="13"/>
      <c r="AY16" s="13"/>
      <c r="AZ16" s="13"/>
      <c r="BA16" s="13"/>
      <c r="BB16" s="13"/>
      <c r="BC16" s="13"/>
      <c r="BD16" s="13"/>
      <c r="BE16" s="13"/>
    </row>
    <row r="17" spans="4:36" ht="13.5" thickBot="1" x14ac:dyDescent="0.45">
      <c r="D17" s="224"/>
      <c r="E17" s="428"/>
      <c r="F17" s="428"/>
      <c r="G17" s="428"/>
      <c r="H17" s="224"/>
      <c r="I17" s="224"/>
      <c r="J17" s="428"/>
      <c r="K17" s="428"/>
      <c r="L17" s="428"/>
      <c r="M17" s="224"/>
      <c r="N17" s="13"/>
      <c r="O17" s="13"/>
      <c r="P17" s="13"/>
      <c r="Q17" s="429"/>
      <c r="R17" s="429"/>
      <c r="S17" s="430"/>
      <c r="T17" s="429"/>
      <c r="U17" s="429"/>
      <c r="V17" s="429"/>
      <c r="W17" s="429"/>
      <c r="X17" s="430"/>
      <c r="Y17" s="155"/>
      <c r="Z17" s="435"/>
      <c r="AA17" s="436"/>
      <c r="AB17" s="437">
        <v>1011</v>
      </c>
      <c r="AC17" s="137"/>
      <c r="AD17" s="438">
        <v>120</v>
      </c>
      <c r="AE17" s="252"/>
      <c r="AF17" s="221"/>
      <c r="AG17" s="220"/>
      <c r="AH17" s="439">
        <f>AE16*AG18*8.76/1000</f>
        <v>5.7075779999999998</v>
      </c>
      <c r="AJ17" s="430"/>
    </row>
    <row r="18" spans="4:36" ht="13.5" thickBot="1" x14ac:dyDescent="0.45">
      <c r="D18" s="11">
        <f>H18/E19</f>
        <v>2026.2144914285714</v>
      </c>
      <c r="E18" s="440"/>
      <c r="F18" s="441"/>
      <c r="G18" s="442"/>
      <c r="H18" s="443">
        <f>I18+I26</f>
        <v>2026.2144914285714</v>
      </c>
      <c r="I18" s="11">
        <f>M18/J19</f>
        <v>1684</v>
      </c>
      <c r="J18" s="440"/>
      <c r="K18" s="441"/>
      <c r="L18" s="442"/>
      <c r="M18" s="26">
        <f>SUM(AD17,AD57,AD75,AD119,AD129,AD150,AD139,AD163)</f>
        <v>1684</v>
      </c>
      <c r="N18" s="444">
        <f>AA11</f>
        <v>627.0760151999998</v>
      </c>
      <c r="O18" s="137"/>
      <c r="P18" s="137"/>
      <c r="Q18" s="445"/>
      <c r="R18" s="445"/>
      <c r="S18" s="446"/>
      <c r="T18" s="445"/>
      <c r="U18" s="445"/>
      <c r="V18" s="445"/>
      <c r="W18" s="445"/>
      <c r="X18" s="446"/>
      <c r="Y18" s="199"/>
      <c r="Z18" s="447"/>
      <c r="AA18" s="224"/>
      <c r="AB18" s="432"/>
      <c r="AC18">
        <f>AI19/AD17</f>
        <v>0.35269146999999995</v>
      </c>
      <c r="AD18" s="294"/>
      <c r="AE18" s="258"/>
      <c r="AF18" s="259"/>
      <c r="AG18" s="231">
        <v>0.83</v>
      </c>
      <c r="AH18" s="448"/>
      <c r="AI18" s="449"/>
      <c r="AJ18" s="430"/>
    </row>
    <row r="19" spans="4:36" ht="13.5" thickBot="1" x14ac:dyDescent="0.45">
      <c r="D19" s="428"/>
      <c r="E19" s="450">
        <v>1</v>
      </c>
      <c r="F19" s="436"/>
      <c r="G19" s="451"/>
      <c r="H19" s="224"/>
      <c r="I19" s="224"/>
      <c r="J19" s="450">
        <v>1</v>
      </c>
      <c r="K19" s="436"/>
      <c r="L19" s="451"/>
      <c r="M19" s="224"/>
      <c r="N19" s="13"/>
      <c r="O19" s="13"/>
      <c r="P19" s="13"/>
      <c r="Q19" s="429"/>
      <c r="R19" s="429"/>
      <c r="S19" s="430"/>
      <c r="T19" s="430"/>
      <c r="U19" s="430"/>
      <c r="V19" s="430"/>
      <c r="W19" s="430"/>
      <c r="X19" s="430"/>
      <c r="Y19" s="155"/>
      <c r="Z19" s="435"/>
      <c r="AA19" s="224"/>
      <c r="AB19" s="432"/>
      <c r="AD19" s="294"/>
      <c r="AE19" s="294"/>
      <c r="AF19" s="294"/>
      <c r="AG19" s="294"/>
      <c r="AH19" s="448"/>
      <c r="AI19" s="452">
        <f>AH17+AH21</f>
        <v>42.322976399999995</v>
      </c>
      <c r="AJ19" s="430"/>
    </row>
    <row r="20" spans="4:36" ht="13.5" thickBot="1" x14ac:dyDescent="0.45">
      <c r="D20" s="428"/>
      <c r="E20" s="428"/>
      <c r="F20" s="428"/>
      <c r="G20" s="428"/>
      <c r="H20" s="224"/>
      <c r="I20" s="224"/>
      <c r="J20" s="428"/>
      <c r="K20" s="428"/>
      <c r="L20" s="428"/>
      <c r="M20" s="224"/>
      <c r="N20" s="13"/>
      <c r="O20" s="13"/>
      <c r="P20" s="13"/>
      <c r="Q20" s="429"/>
      <c r="R20" s="429"/>
      <c r="S20" s="430"/>
      <c r="T20" s="429"/>
      <c r="U20" s="429"/>
      <c r="V20" s="429"/>
      <c r="W20" s="429"/>
      <c r="X20" s="430"/>
      <c r="Y20" s="155"/>
      <c r="Z20" s="435"/>
      <c r="AA20" s="224"/>
      <c r="AB20" s="432"/>
      <c r="AC20">
        <f>[4]Belgium!B17</f>
        <v>4</v>
      </c>
      <c r="AD20" s="294" t="str">
        <f>[4]Belgium!C17</f>
        <v>PWR1000</v>
      </c>
      <c r="AE20" s="294">
        <f>[4]Belgium!D17</f>
        <v>4976</v>
      </c>
      <c r="AF20" s="294"/>
      <c r="AG20" s="294"/>
      <c r="AH20" s="448"/>
      <c r="AI20" s="449"/>
      <c r="AJ20" s="430"/>
    </row>
    <row r="21" spans="4:36" ht="13.5" thickBot="1" x14ac:dyDescent="0.45">
      <c r="D21" s="428"/>
      <c r="E21" s="428"/>
      <c r="F21" s="428"/>
      <c r="G21" s="428"/>
      <c r="H21" s="224"/>
      <c r="I21" s="224"/>
      <c r="J21" s="428"/>
      <c r="K21" s="428"/>
      <c r="L21" s="428"/>
      <c r="M21" s="224"/>
      <c r="N21" s="13">
        <f>N18/M18</f>
        <v>0.37237293064133004</v>
      </c>
      <c r="O21" s="13"/>
      <c r="P21" s="13"/>
      <c r="Q21" s="429"/>
      <c r="R21" s="429"/>
      <c r="S21" s="430"/>
      <c r="T21" s="429"/>
      <c r="U21" s="429"/>
      <c r="V21" s="429"/>
      <c r="W21" s="429"/>
      <c r="X21" s="430"/>
      <c r="Y21" s="155"/>
      <c r="Z21" s="435"/>
      <c r="AA21" s="436"/>
      <c r="AB21" s="453"/>
      <c r="AC21" s="137"/>
      <c r="AD21" s="454"/>
      <c r="AE21" s="252"/>
      <c r="AF21" s="221"/>
      <c r="AG21" s="220"/>
      <c r="AH21" s="455">
        <f>AE20*AG22*8.76/1000</f>
        <v>36.615398399999997</v>
      </c>
      <c r="AI21" s="449"/>
      <c r="AJ21" s="430"/>
    </row>
    <row r="22" spans="4:36" ht="13.5" thickBot="1" x14ac:dyDescent="0.45">
      <c r="I22" s="13"/>
      <c r="N22" s="13"/>
      <c r="O22" s="13"/>
      <c r="P22" s="13"/>
      <c r="Q22" s="429"/>
      <c r="R22" s="429"/>
      <c r="S22" s="430"/>
      <c r="T22" s="429"/>
      <c r="U22" s="429"/>
      <c r="V22" s="429"/>
      <c r="W22" s="429"/>
      <c r="X22" s="430"/>
      <c r="Y22" s="155"/>
      <c r="Z22" s="435"/>
      <c r="AA22" s="224"/>
      <c r="AB22" s="432"/>
      <c r="AC22" s="456"/>
      <c r="AD22" s="294"/>
      <c r="AE22" s="258"/>
      <c r="AF22" s="259"/>
      <c r="AG22" s="231">
        <v>0.84</v>
      </c>
      <c r="AH22" s="448"/>
      <c r="AJ22" s="430"/>
    </row>
    <row r="23" spans="4:36" ht="19.5" customHeight="1" x14ac:dyDescent="0.4">
      <c r="I23" s="13"/>
      <c r="J23" s="457" t="s">
        <v>225</v>
      </c>
      <c r="K23" s="457"/>
      <c r="N23" s="13"/>
      <c r="O23" s="13"/>
      <c r="P23" s="13"/>
      <c r="Q23" s="429"/>
      <c r="R23" s="429"/>
      <c r="S23" s="430"/>
      <c r="T23" s="429"/>
      <c r="U23" s="429"/>
      <c r="V23" s="429"/>
      <c r="W23" s="429"/>
      <c r="X23" s="430"/>
      <c r="Y23" s="155"/>
      <c r="Z23" s="435"/>
      <c r="AA23" s="224"/>
      <c r="AB23" s="432"/>
      <c r="AD23" s="294"/>
      <c r="AE23" s="294"/>
      <c r="AF23" s="294"/>
      <c r="AG23" s="294"/>
      <c r="AH23" s="448"/>
      <c r="AJ23" s="430"/>
    </row>
    <row r="24" spans="4:36" ht="18" customHeight="1" x14ac:dyDescent="0.4">
      <c r="I24" s="21"/>
      <c r="J24" s="457"/>
      <c r="K24" s="457"/>
      <c r="L24" s="457"/>
      <c r="M24" s="21"/>
      <c r="N24" s="13"/>
      <c r="O24" s="13"/>
      <c r="P24" s="13"/>
      <c r="Q24" s="429"/>
      <c r="R24" s="429"/>
      <c r="S24" s="430"/>
      <c r="T24" s="429"/>
      <c r="U24" s="429"/>
      <c r="V24" s="429"/>
      <c r="W24" s="429"/>
      <c r="X24" s="430"/>
      <c r="Y24" s="155"/>
      <c r="Z24" s="435"/>
      <c r="AA24" s="224"/>
      <c r="AB24" s="432"/>
      <c r="AD24" s="12"/>
      <c r="AE24" s="12"/>
      <c r="AF24" s="12"/>
      <c r="AG24" s="12"/>
      <c r="AH24" s="352"/>
      <c r="AJ24" s="430"/>
    </row>
    <row r="25" spans="4:36" ht="13.5" thickBot="1" x14ac:dyDescent="0.45">
      <c r="I25" s="21"/>
      <c r="J25" s="457"/>
      <c r="K25" s="457"/>
      <c r="L25" s="457"/>
      <c r="M25" s="21"/>
      <c r="N25" s="13"/>
      <c r="O25" s="13"/>
      <c r="P25" s="13"/>
      <c r="Q25" s="429"/>
      <c r="R25" s="429"/>
      <c r="S25" s="430"/>
      <c r="T25" s="429"/>
      <c r="U25" s="429"/>
      <c r="V25" s="429"/>
      <c r="W25" s="429"/>
      <c r="X25" s="430"/>
      <c r="Y25" s="155"/>
      <c r="Z25" s="435"/>
      <c r="AA25" s="224"/>
      <c r="AB25" s="432"/>
      <c r="AD25" s="10"/>
      <c r="AE25" s="10"/>
      <c r="AF25" s="10"/>
      <c r="AG25" s="10"/>
      <c r="AH25" s="458" t="s">
        <v>226</v>
      </c>
      <c r="AJ25" s="430"/>
    </row>
    <row r="26" spans="4:36" ht="13.5" thickBot="1" x14ac:dyDescent="0.45">
      <c r="I26" s="357">
        <f>M26/J27</f>
        <v>342.21449142857142</v>
      </c>
      <c r="J26" s="459"/>
      <c r="K26" s="460"/>
      <c r="L26" s="461"/>
      <c r="M26" s="462">
        <f>SUM(AD133,AD123,AD79,AD51)</f>
        <v>342.21449142857142</v>
      </c>
      <c r="N26" s="444">
        <f>Z11</f>
        <v>124.17107279999999</v>
      </c>
      <c r="O26" s="137"/>
      <c r="P26" s="137"/>
      <c r="Q26" s="445"/>
      <c r="R26" s="445"/>
      <c r="S26" s="446"/>
      <c r="T26" s="445"/>
      <c r="U26" s="445"/>
      <c r="V26" s="445"/>
      <c r="W26" s="445"/>
      <c r="X26" s="446"/>
      <c r="Y26" s="199"/>
      <c r="Z26" s="435"/>
      <c r="AA26" s="224"/>
      <c r="AB26" s="463">
        <v>261</v>
      </c>
      <c r="AC26" s="10">
        <f>[4]Bulgaria!A13</f>
        <v>2</v>
      </c>
      <c r="AD26" s="10" t="str">
        <f>[4]Bulgaria!B13</f>
        <v>V-230</v>
      </c>
      <c r="AE26" s="10">
        <f>[4]Bulgaria!C13</f>
        <v>810</v>
      </c>
      <c r="AF26" s="10"/>
      <c r="AG26" s="10"/>
      <c r="AH26" s="389"/>
      <c r="AJ26" s="430"/>
    </row>
    <row r="27" spans="4:36" ht="13.5" thickBot="1" x14ac:dyDescent="0.45">
      <c r="I27" s="457"/>
      <c r="J27" s="464">
        <v>1</v>
      </c>
      <c r="K27" s="465"/>
      <c r="L27" s="466"/>
      <c r="M27" s="21"/>
      <c r="N27" s="13"/>
      <c r="O27" s="13"/>
      <c r="P27" s="13"/>
      <c r="Q27" s="429"/>
      <c r="R27" s="429"/>
      <c r="S27" s="430"/>
      <c r="T27" s="429"/>
      <c r="U27" s="429"/>
      <c r="V27" s="429"/>
      <c r="W27" s="429"/>
      <c r="X27" s="430"/>
      <c r="Y27" s="155"/>
      <c r="Z27" s="435"/>
      <c r="AA27" s="436"/>
      <c r="AB27" s="453"/>
      <c r="AC27" s="137"/>
      <c r="AD27" s="467">
        <f>AH27/AC28</f>
        <v>15.846840000000002</v>
      </c>
      <c r="AE27" s="468"/>
      <c r="AF27" s="375"/>
      <c r="AG27" s="376"/>
      <c r="AH27" s="469">
        <f>AE26*AG28*8.76/1000</f>
        <v>4.7540520000000006</v>
      </c>
      <c r="AJ27" s="430"/>
    </row>
    <row r="28" spans="4:36" ht="13.5" thickBot="1" x14ac:dyDescent="0.45">
      <c r="I28" s="457"/>
      <c r="J28" s="457"/>
      <c r="K28" s="457"/>
      <c r="L28" s="457"/>
      <c r="M28" s="21"/>
      <c r="N28" s="13"/>
      <c r="O28" s="13"/>
      <c r="P28" s="13"/>
      <c r="Q28" s="429"/>
      <c r="R28" s="429"/>
      <c r="S28" s="430"/>
      <c r="T28" s="429"/>
      <c r="U28" s="429"/>
      <c r="V28" s="429"/>
      <c r="W28" s="429"/>
      <c r="X28" s="430"/>
      <c r="Y28" s="155"/>
      <c r="Z28" s="435"/>
      <c r="AA28" s="224"/>
      <c r="AB28" s="432"/>
      <c r="AC28" s="470">
        <v>0.3</v>
      </c>
      <c r="AD28" s="10"/>
      <c r="AE28" s="384"/>
      <c r="AF28" s="250"/>
      <c r="AG28" s="471">
        <v>0.67</v>
      </c>
      <c r="AH28" s="389"/>
      <c r="AI28" s="449"/>
      <c r="AJ28" s="430"/>
    </row>
    <row r="29" spans="4:36" ht="13.5" thickBot="1" x14ac:dyDescent="0.45">
      <c r="I29" s="457"/>
      <c r="J29" s="457"/>
      <c r="K29" s="457"/>
      <c r="L29" s="457"/>
      <c r="M29" s="21"/>
      <c r="N29" s="13">
        <f>N26/M26</f>
        <v>0.3628457470683048</v>
      </c>
      <c r="O29" s="13"/>
      <c r="P29" s="13"/>
      <c r="Q29" s="429"/>
      <c r="R29" s="429"/>
      <c r="S29" s="430"/>
      <c r="T29" s="429"/>
      <c r="U29" s="429"/>
      <c r="V29" s="429"/>
      <c r="W29" s="429"/>
      <c r="X29" s="430"/>
      <c r="Y29" s="155"/>
      <c r="Z29" s="435"/>
      <c r="AA29" s="224"/>
      <c r="AB29" s="432"/>
      <c r="AD29" s="10"/>
      <c r="AE29" s="10"/>
      <c r="AF29" s="10"/>
      <c r="AG29" s="10"/>
      <c r="AH29" s="389"/>
      <c r="AI29" s="472">
        <f>AH27+AH31</f>
        <v>13.6032288</v>
      </c>
      <c r="AJ29" s="430"/>
    </row>
    <row r="30" spans="4:36" ht="13.5" thickBot="1" x14ac:dyDescent="0.45">
      <c r="N30" s="13"/>
      <c r="O30" s="13"/>
      <c r="P30" s="13"/>
      <c r="Q30" s="429"/>
      <c r="R30" s="429"/>
      <c r="S30" s="430"/>
      <c r="T30" s="429"/>
      <c r="U30" s="429"/>
      <c r="V30" s="429"/>
      <c r="W30" s="429"/>
      <c r="X30" s="430"/>
      <c r="Y30" s="155"/>
      <c r="Z30" s="435"/>
      <c r="AA30" s="224"/>
      <c r="AB30" s="432"/>
      <c r="AC30" s="12">
        <f>[4]Bulgaria!A16</f>
        <v>2</v>
      </c>
      <c r="AD30" s="10" t="str">
        <f>[4]Bulgaria!B16</f>
        <v>V-320</v>
      </c>
      <c r="AE30" s="10">
        <f>[4]Bulgaria!C17</f>
        <v>1906</v>
      </c>
      <c r="AF30" s="10"/>
      <c r="AG30" s="10"/>
      <c r="AH30" s="389"/>
      <c r="AI30" s="449"/>
      <c r="AJ30" s="430"/>
    </row>
    <row r="31" spans="4:36" ht="13.5" thickBot="1" x14ac:dyDescent="0.45">
      <c r="H31" s="473"/>
      <c r="J31" s="457" t="s">
        <v>227</v>
      </c>
      <c r="K31" s="457"/>
      <c r="N31" s="13"/>
      <c r="O31" s="13"/>
      <c r="P31" s="13"/>
      <c r="Q31" s="429"/>
      <c r="R31" s="429"/>
      <c r="S31" s="430"/>
      <c r="T31" s="429"/>
      <c r="U31" s="429"/>
      <c r="V31" s="429"/>
      <c r="W31" s="429"/>
      <c r="X31" s="430"/>
      <c r="Y31" s="199"/>
      <c r="Z31" s="447"/>
      <c r="AA31" s="436"/>
      <c r="AB31" s="453"/>
      <c r="AC31" s="137"/>
      <c r="AD31" s="474"/>
      <c r="AE31" s="468"/>
      <c r="AF31" s="375"/>
      <c r="AG31" s="376"/>
      <c r="AH31" s="469">
        <f>AE30*AG32*8.76/1000</f>
        <v>8.8491768000000004</v>
      </c>
      <c r="AI31" s="449"/>
      <c r="AJ31" s="430"/>
    </row>
    <row r="32" spans="4:36" ht="11.25" customHeight="1" thickBot="1" x14ac:dyDescent="0.45">
      <c r="I32" s="457"/>
      <c r="J32" s="457"/>
      <c r="K32" s="457"/>
      <c r="L32" s="457"/>
      <c r="M32" s="21"/>
      <c r="N32" s="13"/>
      <c r="O32" s="13"/>
      <c r="P32" s="13"/>
      <c r="Q32" s="429"/>
      <c r="R32" s="429"/>
      <c r="S32" s="430"/>
      <c r="T32" s="429"/>
      <c r="U32" s="429"/>
      <c r="V32" s="429"/>
      <c r="W32" s="429"/>
      <c r="X32" s="430"/>
      <c r="Y32" s="155"/>
      <c r="Z32" s="435"/>
      <c r="AA32" s="224"/>
      <c r="AB32" s="432"/>
      <c r="AC32" s="456"/>
      <c r="AD32" s="10"/>
      <c r="AE32" s="384"/>
      <c r="AF32" s="250"/>
      <c r="AG32" s="471">
        <v>0.53</v>
      </c>
      <c r="AH32" s="389"/>
      <c r="AJ32" s="430"/>
    </row>
    <row r="33" spans="9:46" ht="13.5" thickBot="1" x14ac:dyDescent="0.45">
      <c r="I33" s="457"/>
      <c r="J33" s="457"/>
      <c r="K33" s="457"/>
      <c r="L33" s="457"/>
      <c r="M33" s="21"/>
      <c r="N33" s="13"/>
      <c r="O33" s="13"/>
      <c r="P33" s="13"/>
      <c r="Q33" s="429"/>
      <c r="R33" s="429"/>
      <c r="S33" s="430"/>
      <c r="T33" s="429"/>
      <c r="U33" s="429"/>
      <c r="V33" s="429"/>
      <c r="W33" s="429"/>
      <c r="X33" s="430"/>
      <c r="Y33" s="155"/>
      <c r="Z33" s="435"/>
      <c r="AA33" s="224"/>
      <c r="AB33" s="432"/>
      <c r="AD33" s="10"/>
      <c r="AE33" s="10"/>
      <c r="AF33" s="10"/>
      <c r="AG33" s="10"/>
      <c r="AH33" s="389"/>
      <c r="AJ33" s="430"/>
    </row>
    <row r="34" spans="9:46" ht="13.5" thickBot="1" x14ac:dyDescent="0.45">
      <c r="I34" s="466"/>
      <c r="J34" s="459"/>
      <c r="K34" s="460"/>
      <c r="L34" s="461"/>
      <c r="M34" s="475">
        <f>AD155</f>
        <v>0</v>
      </c>
      <c r="N34" s="137">
        <v>0</v>
      </c>
      <c r="O34" s="137"/>
      <c r="P34" s="137"/>
      <c r="Q34" s="445"/>
      <c r="R34" s="445"/>
      <c r="S34" s="446"/>
      <c r="T34" s="445"/>
      <c r="U34" s="445"/>
      <c r="V34" s="445"/>
      <c r="W34" s="429"/>
      <c r="X34" s="430"/>
      <c r="Y34" s="155"/>
      <c r="Z34" s="435"/>
      <c r="AA34" s="224"/>
      <c r="AB34" s="432"/>
      <c r="AD34" s="10"/>
      <c r="AE34" s="10"/>
      <c r="AF34" s="10"/>
      <c r="AG34" s="10"/>
      <c r="AH34" s="389"/>
      <c r="AJ34" s="430"/>
    </row>
    <row r="35" spans="9:46" ht="13.5" thickBot="1" x14ac:dyDescent="0.45">
      <c r="I35" s="457"/>
      <c r="J35" s="464"/>
      <c r="K35" s="465"/>
      <c r="L35" s="466"/>
      <c r="M35" s="21"/>
      <c r="N35" s="13"/>
      <c r="Q35" s="429"/>
      <c r="R35" s="429"/>
      <c r="S35" s="430"/>
      <c r="T35" s="476"/>
      <c r="U35" s="476"/>
      <c r="V35" s="477"/>
      <c r="W35" s="429"/>
      <c r="X35" s="430"/>
      <c r="Y35" s="155"/>
      <c r="Z35" s="435"/>
      <c r="AA35" s="224"/>
      <c r="AB35" s="432"/>
      <c r="AD35" s="478"/>
      <c r="AE35" s="478"/>
      <c r="AF35" s="478"/>
      <c r="AG35" s="478"/>
      <c r="AH35" s="479" t="s">
        <v>228</v>
      </c>
      <c r="AJ35" s="430"/>
    </row>
    <row r="36" spans="9:46" ht="13.5" thickBot="1" x14ac:dyDescent="0.45">
      <c r="I36" s="457"/>
      <c r="J36" s="457"/>
      <c r="K36" s="457"/>
      <c r="L36" s="457"/>
      <c r="M36" s="21"/>
      <c r="N36" s="13"/>
      <c r="O36" s="13"/>
      <c r="P36" s="13"/>
      <c r="Q36" s="429"/>
      <c r="R36" s="429"/>
      <c r="S36" s="430"/>
      <c r="T36" s="429"/>
      <c r="U36" s="429"/>
      <c r="V36" s="429"/>
      <c r="W36" s="429"/>
      <c r="X36" s="430"/>
      <c r="Y36" s="155"/>
      <c r="Z36" s="435"/>
      <c r="AA36" s="224"/>
      <c r="AB36" s="432"/>
      <c r="AC36">
        <f>'[4]Czech R.'!A14</f>
        <v>4</v>
      </c>
      <c r="AD36" s="478" t="str">
        <f>'[4]Czech R.'!B14</f>
        <v>V-213</v>
      </c>
      <c r="AE36" s="478">
        <f>'[4]Czech R.'!C14</f>
        <v>1648</v>
      </c>
      <c r="AF36" s="478"/>
      <c r="AG36" s="478"/>
      <c r="AH36" s="480"/>
      <c r="AJ36" s="430"/>
    </row>
    <row r="37" spans="9:46" ht="13.5" thickBot="1" x14ac:dyDescent="0.45">
      <c r="I37" s="457"/>
      <c r="J37" s="457"/>
      <c r="K37" s="457"/>
      <c r="L37" s="457"/>
      <c r="M37" s="21"/>
      <c r="N37" s="13" t="e">
        <f>N34/M34</f>
        <v>#DIV/0!</v>
      </c>
      <c r="O37" s="13"/>
      <c r="P37" s="13"/>
      <c r="Q37" s="429"/>
      <c r="R37" s="429"/>
      <c r="S37" s="430"/>
      <c r="T37" s="429"/>
      <c r="U37" s="429"/>
      <c r="V37" s="429"/>
      <c r="W37" s="429"/>
      <c r="X37" s="430"/>
      <c r="Y37" s="199"/>
      <c r="Z37" s="447"/>
      <c r="AA37" s="436"/>
      <c r="AB37" s="437">
        <v>619</v>
      </c>
      <c r="AC37" s="137"/>
      <c r="AD37" s="267">
        <v>78</v>
      </c>
      <c r="AE37" s="481"/>
      <c r="AF37" s="482"/>
      <c r="AG37" s="483"/>
      <c r="AH37" s="484">
        <f>AE36*AG38*8.76/1000</f>
        <v>11.982278399999998</v>
      </c>
      <c r="AJ37" s="430"/>
    </row>
    <row r="38" spans="9:46" ht="13.5" thickBot="1" x14ac:dyDescent="0.45">
      <c r="N38" s="13"/>
      <c r="O38" s="13"/>
      <c r="P38" s="13"/>
      <c r="Q38" s="429"/>
      <c r="R38" s="429"/>
      <c r="S38" s="430"/>
      <c r="T38" s="429"/>
      <c r="U38" s="429"/>
      <c r="V38" s="429"/>
      <c r="W38" s="429"/>
      <c r="X38" s="430"/>
      <c r="Y38" s="155"/>
      <c r="Z38" s="435"/>
      <c r="AA38" s="224"/>
      <c r="AB38" s="432"/>
      <c r="AC38">
        <f>AI39/AD37</f>
        <v>0.2929164307692308</v>
      </c>
      <c r="AD38" s="478"/>
      <c r="AE38" s="485"/>
      <c r="AF38" s="486"/>
      <c r="AG38" s="487">
        <v>0.83</v>
      </c>
      <c r="AH38" s="480"/>
      <c r="AJ38" s="430"/>
    </row>
    <row r="39" spans="9:46" ht="13.5" thickBot="1" x14ac:dyDescent="0.45">
      <c r="J39" s="457" t="s">
        <v>229</v>
      </c>
      <c r="K39" s="457"/>
      <c r="N39" s="13"/>
      <c r="O39" s="13"/>
      <c r="P39" s="13"/>
      <c r="Q39" s="429"/>
      <c r="R39" s="429"/>
      <c r="S39" s="430"/>
      <c r="T39" s="429"/>
      <c r="U39" s="429"/>
      <c r="V39" s="429"/>
      <c r="W39" s="429"/>
      <c r="X39" s="430"/>
      <c r="Y39" s="155"/>
      <c r="Z39" s="435"/>
      <c r="AA39" s="224"/>
      <c r="AB39" s="432"/>
      <c r="AD39" s="478"/>
      <c r="AE39" s="478"/>
      <c r="AF39" s="478"/>
      <c r="AG39" s="478"/>
      <c r="AH39" s="480"/>
      <c r="AI39" s="472">
        <f>AH37+AH41</f>
        <v>22.847481600000002</v>
      </c>
      <c r="AJ39" s="430"/>
    </row>
    <row r="40" spans="9:46" ht="13.5" thickBot="1" x14ac:dyDescent="0.45">
      <c r="I40" s="457"/>
      <c r="J40" s="457"/>
      <c r="K40" s="457"/>
      <c r="L40" s="457"/>
      <c r="M40" s="21"/>
      <c r="N40" s="13"/>
      <c r="O40" s="13"/>
      <c r="P40" s="13"/>
      <c r="Q40" s="429"/>
      <c r="R40" s="429"/>
      <c r="S40" s="430"/>
      <c r="T40" s="429"/>
      <c r="U40" s="429"/>
      <c r="V40" s="429"/>
      <c r="W40" s="429"/>
      <c r="X40" s="430"/>
      <c r="Y40" s="155"/>
      <c r="Z40" s="435"/>
      <c r="AA40" s="224"/>
      <c r="AB40" s="432"/>
      <c r="AC40">
        <f>'[4]Czech R.'!A18</f>
        <v>2</v>
      </c>
      <c r="AD40" s="478" t="str">
        <f>'[4]Czech R.'!B18</f>
        <v>V-320</v>
      </c>
      <c r="AE40" s="478">
        <f>'[4]Czech R.'!C18</f>
        <v>1824</v>
      </c>
      <c r="AF40" s="478"/>
      <c r="AG40" s="478"/>
      <c r="AH40" s="480"/>
      <c r="AJ40" s="430"/>
    </row>
    <row r="41" spans="9:46" ht="13.5" thickBot="1" x14ac:dyDescent="0.45">
      <c r="I41" s="457"/>
      <c r="J41" s="457"/>
      <c r="K41" s="457"/>
      <c r="L41" s="457"/>
      <c r="M41" s="21"/>
      <c r="N41" s="13"/>
      <c r="O41" s="13"/>
      <c r="P41" s="13"/>
      <c r="Q41" s="429"/>
      <c r="R41" s="429"/>
      <c r="S41" s="430"/>
      <c r="T41" s="429"/>
      <c r="U41" s="429"/>
      <c r="V41" s="429"/>
      <c r="W41" s="429"/>
      <c r="X41" s="430"/>
      <c r="Y41" s="199"/>
      <c r="Z41" s="447"/>
      <c r="AA41" s="436"/>
      <c r="AB41" s="453"/>
      <c r="AC41" s="137"/>
      <c r="AD41" s="474"/>
      <c r="AE41" s="481"/>
      <c r="AF41" s="482"/>
      <c r="AG41" s="483"/>
      <c r="AH41" s="484">
        <f>AE40*AG42*8.76/1000</f>
        <v>10.865203200000002</v>
      </c>
      <c r="AJ41" s="430"/>
      <c r="AQ41" t="s">
        <v>48</v>
      </c>
      <c r="AS41" t="s">
        <v>230</v>
      </c>
      <c r="AT41" t="s">
        <v>231</v>
      </c>
    </row>
    <row r="42" spans="9:46" ht="13.5" thickBot="1" x14ac:dyDescent="0.45">
      <c r="I42" s="466"/>
      <c r="J42" s="459"/>
      <c r="K42" s="460"/>
      <c r="L42" s="461"/>
      <c r="M42" s="488">
        <f>SUM(AD159)</f>
        <v>600</v>
      </c>
      <c r="N42" s="489">
        <f>X11</f>
        <v>51.662099999999995</v>
      </c>
      <c r="O42" s="137"/>
      <c r="P42" s="137"/>
      <c r="Q42" s="445"/>
      <c r="R42" s="445"/>
      <c r="S42" s="446"/>
      <c r="T42" s="445"/>
      <c r="U42" s="445"/>
      <c r="V42" s="445"/>
      <c r="W42" s="445"/>
      <c r="X42" s="430"/>
      <c r="Y42" s="155"/>
      <c r="Z42" s="435"/>
      <c r="AA42" s="224"/>
      <c r="AB42" s="432"/>
      <c r="AC42" s="456"/>
      <c r="AD42" s="478"/>
      <c r="AE42" s="485"/>
      <c r="AF42" s="486"/>
      <c r="AG42" s="487">
        <v>0.68</v>
      </c>
      <c r="AH42" s="480"/>
      <c r="AJ42" s="430"/>
      <c r="AQ42" t="s">
        <v>232</v>
      </c>
      <c r="AS42">
        <v>2</v>
      </c>
      <c r="AT42">
        <v>935</v>
      </c>
    </row>
    <row r="43" spans="9:46" ht="13.5" thickBot="1" x14ac:dyDescent="0.45">
      <c r="I43" s="457"/>
      <c r="J43" s="464"/>
      <c r="K43" s="465"/>
      <c r="L43" s="466"/>
      <c r="M43" s="21"/>
      <c r="N43" s="13"/>
      <c r="Q43" s="429"/>
      <c r="R43" s="429"/>
      <c r="S43" s="430"/>
      <c r="T43" s="476"/>
      <c r="U43" s="476"/>
      <c r="V43" s="476"/>
      <c r="W43" s="477"/>
      <c r="X43" s="430"/>
      <c r="Y43" s="155"/>
      <c r="Z43" s="435"/>
      <c r="AA43" s="224"/>
      <c r="AB43" s="432"/>
      <c r="AD43" s="478"/>
      <c r="AE43" s="478"/>
      <c r="AF43" s="478"/>
      <c r="AG43" s="478"/>
      <c r="AH43" s="480"/>
      <c r="AJ43" s="430"/>
      <c r="AQ43" t="s">
        <v>233</v>
      </c>
      <c r="AS43">
        <v>1</v>
      </c>
      <c r="AT43">
        <v>376</v>
      </c>
    </row>
    <row r="44" spans="9:46" x14ac:dyDescent="0.4">
      <c r="I44" s="457"/>
      <c r="J44" s="457"/>
      <c r="K44" s="457"/>
      <c r="L44" s="457"/>
      <c r="M44" s="21"/>
      <c r="N44" s="13"/>
      <c r="O44" s="13"/>
      <c r="P44" s="13"/>
      <c r="Q44" s="429"/>
      <c r="R44" s="429"/>
      <c r="S44" s="430"/>
      <c r="T44" s="429"/>
      <c r="U44" s="429"/>
      <c r="V44" s="429"/>
      <c r="W44" s="429"/>
      <c r="X44" s="430"/>
      <c r="Y44" s="155"/>
      <c r="Z44" s="435"/>
      <c r="AA44" s="224"/>
      <c r="AB44" s="432"/>
      <c r="AD44" s="478"/>
      <c r="AE44" s="478"/>
      <c r="AF44" s="478"/>
      <c r="AG44" s="478"/>
      <c r="AH44" s="480"/>
      <c r="AJ44" s="430"/>
      <c r="AQ44" t="s">
        <v>234</v>
      </c>
      <c r="AS44" s="490">
        <v>7</v>
      </c>
      <c r="AT44" s="490">
        <v>5801</v>
      </c>
    </row>
    <row r="45" spans="9:46" x14ac:dyDescent="0.4">
      <c r="I45" s="457"/>
      <c r="J45" s="457"/>
      <c r="K45" s="457"/>
      <c r="L45" s="457"/>
      <c r="M45" s="21"/>
      <c r="N45" s="13">
        <f>N42/M42</f>
        <v>8.6103499999999986E-2</v>
      </c>
      <c r="O45" s="13"/>
      <c r="P45" s="13"/>
      <c r="Q45" s="429"/>
      <c r="R45" s="429"/>
      <c r="S45" s="430"/>
      <c r="T45" s="429"/>
      <c r="U45" s="429"/>
      <c r="V45" s="429"/>
      <c r="W45" s="429"/>
      <c r="X45" s="430"/>
      <c r="Y45" s="155"/>
      <c r="Z45" s="435"/>
      <c r="AA45" s="224"/>
      <c r="AB45" s="432"/>
      <c r="AD45" s="457"/>
      <c r="AE45" s="457"/>
      <c r="AF45" s="457"/>
      <c r="AG45" s="457"/>
      <c r="AH45" s="491" t="s">
        <v>235</v>
      </c>
      <c r="AJ45" s="430"/>
      <c r="AQ45" t="s">
        <v>236</v>
      </c>
      <c r="AS45">
        <v>2</v>
      </c>
      <c r="AT45">
        <v>1901</v>
      </c>
    </row>
    <row r="46" spans="9:46" ht="13.5" thickBot="1" x14ac:dyDescent="0.45">
      <c r="N46" s="13"/>
      <c r="O46" s="13"/>
      <c r="P46" s="13"/>
      <c r="Q46" s="429"/>
      <c r="R46" s="429"/>
      <c r="S46" s="430"/>
      <c r="T46" s="429"/>
      <c r="U46" s="429"/>
      <c r="V46" s="429"/>
      <c r="W46" s="429"/>
      <c r="X46" s="430"/>
      <c r="Y46" s="155"/>
      <c r="Z46" s="435"/>
      <c r="AA46" s="224"/>
      <c r="AB46" s="432"/>
      <c r="AC46">
        <f>[4]Finland!A10</f>
        <v>2</v>
      </c>
      <c r="AD46" s="457" t="str">
        <f>[4]Finland!B10</f>
        <v>VVER-440</v>
      </c>
      <c r="AE46" s="457">
        <f>[4]Finland!C10</f>
        <v>976</v>
      </c>
      <c r="AF46" s="457"/>
      <c r="AG46" s="457"/>
      <c r="AH46" s="492"/>
      <c r="AJ46" s="430"/>
      <c r="AQ46" t="s">
        <v>237</v>
      </c>
      <c r="AS46" s="490">
        <v>4</v>
      </c>
      <c r="AT46" s="490">
        <v>2722</v>
      </c>
    </row>
    <row r="47" spans="9:46" ht="13.5" thickBot="1" x14ac:dyDescent="0.45">
      <c r="J47" s="457" t="s">
        <v>238</v>
      </c>
      <c r="K47" s="457"/>
      <c r="N47" s="13"/>
      <c r="O47" s="13"/>
      <c r="P47" s="13"/>
      <c r="Q47" s="429"/>
      <c r="R47" s="429"/>
      <c r="S47" s="430"/>
      <c r="T47" s="429"/>
      <c r="U47" s="429"/>
      <c r="V47" s="429"/>
      <c r="W47" s="429"/>
      <c r="X47" s="430"/>
      <c r="Y47" s="199"/>
      <c r="Z47" s="447"/>
      <c r="AA47" s="436"/>
      <c r="AB47" s="437">
        <v>1051</v>
      </c>
      <c r="AC47" s="137"/>
      <c r="AD47" s="267">
        <v>26</v>
      </c>
      <c r="AE47" s="459"/>
      <c r="AF47" s="460"/>
      <c r="AG47" s="461"/>
      <c r="AH47" s="493">
        <f>AE46*AG48*8.76/1000</f>
        <v>7.3527936</v>
      </c>
      <c r="AJ47" s="430"/>
      <c r="AQ47" t="s">
        <v>239</v>
      </c>
      <c r="AS47">
        <v>18</v>
      </c>
      <c r="AT47">
        <v>12599</v>
      </c>
    </row>
    <row r="48" spans="9:46" ht="13.5" thickBot="1" x14ac:dyDescent="0.45">
      <c r="I48" s="457"/>
      <c r="J48" s="457"/>
      <c r="K48" s="457"/>
      <c r="L48" s="457"/>
      <c r="M48" s="21"/>
      <c r="N48" s="13"/>
      <c r="O48" s="13"/>
      <c r="P48" s="13"/>
      <c r="Q48" s="429"/>
      <c r="R48" s="429"/>
      <c r="S48" s="430"/>
      <c r="T48" s="429"/>
      <c r="U48" s="429"/>
      <c r="V48" s="429"/>
      <c r="W48" s="429"/>
      <c r="X48" s="430"/>
      <c r="Y48" s="155"/>
      <c r="Z48" s="435"/>
      <c r="AA48" s="224"/>
      <c r="AB48" s="432"/>
      <c r="AC48">
        <f>AH47/AD47</f>
        <v>0.28279975384615386</v>
      </c>
      <c r="AD48" s="457"/>
      <c r="AE48" s="464"/>
      <c r="AF48" s="465"/>
      <c r="AG48" s="466">
        <v>0.86</v>
      </c>
      <c r="AH48" s="492"/>
      <c r="AJ48" s="430"/>
      <c r="AQ48" t="s">
        <v>240</v>
      </c>
      <c r="AS48">
        <v>9</v>
      </c>
      <c r="AT48">
        <v>6572</v>
      </c>
    </row>
    <row r="49" spans="4:46" ht="13.5" thickBot="1" x14ac:dyDescent="0.45">
      <c r="I49" s="457"/>
      <c r="J49" s="457"/>
      <c r="K49" s="457"/>
      <c r="L49" s="457"/>
      <c r="M49" s="21"/>
      <c r="N49" s="13"/>
      <c r="O49" s="13"/>
      <c r="P49" s="13"/>
      <c r="Q49" s="429"/>
      <c r="R49" s="429"/>
      <c r="S49" s="430"/>
      <c r="T49" s="429"/>
      <c r="U49" s="429"/>
      <c r="V49" s="429"/>
      <c r="W49" s="429"/>
      <c r="X49" s="430"/>
      <c r="Y49" s="155"/>
      <c r="Z49" s="435"/>
      <c r="AA49" s="224"/>
      <c r="AB49" s="432"/>
      <c r="AD49" s="457"/>
      <c r="AE49" s="457"/>
      <c r="AF49" s="457"/>
      <c r="AG49" s="457"/>
      <c r="AH49" s="492"/>
      <c r="AI49" s="472">
        <f>AH47+AH51</f>
        <v>21.2146176</v>
      </c>
      <c r="AJ49" s="430"/>
      <c r="AQ49" t="s">
        <v>241</v>
      </c>
      <c r="AS49" s="490">
        <v>6</v>
      </c>
      <c r="AT49" s="490">
        <v>3368</v>
      </c>
    </row>
    <row r="50" spans="4:46" ht="13.5" thickBot="1" x14ac:dyDescent="0.45">
      <c r="I50" s="466"/>
      <c r="J50" s="459"/>
      <c r="K50" s="460"/>
      <c r="L50" s="461"/>
      <c r="M50" s="488">
        <f>AD97</f>
        <v>32.896720000000002</v>
      </c>
      <c r="N50" s="489">
        <f>V11</f>
        <v>9.8690160000000002</v>
      </c>
      <c r="O50" s="137"/>
      <c r="P50" s="489"/>
      <c r="Q50" s="445"/>
      <c r="R50" s="445"/>
      <c r="S50" s="446"/>
      <c r="T50" s="445"/>
      <c r="U50" s="445"/>
      <c r="V50" s="429"/>
      <c r="W50" s="429"/>
      <c r="X50" s="430"/>
      <c r="Y50" s="155"/>
      <c r="Z50" s="435"/>
      <c r="AA50" s="224"/>
      <c r="AB50" s="432"/>
      <c r="AC50" s="457">
        <f>[4]Finland!A14</f>
        <v>2</v>
      </c>
      <c r="AD50" s="457" t="str">
        <f>[4]Finland!B14</f>
        <v>BWR</v>
      </c>
      <c r="AE50" s="457">
        <f>[4]Finland!C14</f>
        <v>1720</v>
      </c>
      <c r="AF50" s="457"/>
      <c r="AG50" s="457"/>
      <c r="AH50" s="492"/>
      <c r="AJ50" s="430"/>
      <c r="AQ50" t="s">
        <v>242</v>
      </c>
      <c r="AS50" s="490">
        <v>4</v>
      </c>
      <c r="AT50" s="490">
        <v>2676</v>
      </c>
    </row>
    <row r="51" spans="4:46" ht="13.5" thickBot="1" x14ac:dyDescent="0.45">
      <c r="I51" s="457"/>
      <c r="J51" s="464"/>
      <c r="K51" s="465"/>
      <c r="L51" s="466"/>
      <c r="M51" s="21"/>
      <c r="N51" s="13"/>
      <c r="Q51" s="429"/>
      <c r="R51" s="429"/>
      <c r="S51" s="429"/>
      <c r="T51" s="429"/>
      <c r="U51" s="429"/>
      <c r="V51" s="429"/>
      <c r="W51" s="429"/>
      <c r="X51" s="430"/>
      <c r="Y51" s="155"/>
      <c r="Z51" s="447"/>
      <c r="AA51" s="436"/>
      <c r="AB51" s="453"/>
      <c r="AC51" s="137"/>
      <c r="AD51" s="494">
        <v>40</v>
      </c>
      <c r="AE51" s="459"/>
      <c r="AF51" s="460"/>
      <c r="AG51" s="461"/>
      <c r="AH51" s="493">
        <f>AE50*AG52*8.76/1000</f>
        <v>13.861824</v>
      </c>
      <c r="AJ51" s="430"/>
      <c r="AQ51" t="s">
        <v>243</v>
      </c>
      <c r="AS51" s="490">
        <v>59</v>
      </c>
      <c r="AT51" s="490">
        <v>63363</v>
      </c>
    </row>
    <row r="52" spans="4:46" ht="13.5" thickBot="1" x14ac:dyDescent="0.45">
      <c r="I52" s="457"/>
      <c r="J52" s="457"/>
      <c r="K52" s="457"/>
      <c r="L52" s="457"/>
      <c r="M52" s="21"/>
      <c r="N52" s="13"/>
      <c r="O52" s="13"/>
      <c r="P52" s="13"/>
      <c r="Q52" s="429"/>
      <c r="R52" s="429"/>
      <c r="S52" s="430"/>
      <c r="T52" s="429"/>
      <c r="U52" s="429"/>
      <c r="V52" s="429"/>
      <c r="W52" s="429"/>
      <c r="X52" s="430"/>
      <c r="Y52" s="155"/>
      <c r="Z52" s="435"/>
      <c r="AA52" s="224"/>
      <c r="AB52" s="432"/>
      <c r="AC52">
        <f>AH51/AD51</f>
        <v>0.34654560000000001</v>
      </c>
      <c r="AD52" s="457"/>
      <c r="AE52" s="464"/>
      <c r="AF52" s="465"/>
      <c r="AG52" s="466">
        <v>0.92</v>
      </c>
      <c r="AH52" s="492"/>
      <c r="AJ52" s="430"/>
      <c r="AQ52" t="s">
        <v>244</v>
      </c>
      <c r="AS52" s="490">
        <v>17</v>
      </c>
      <c r="AT52" s="490">
        <v>20339</v>
      </c>
    </row>
    <row r="53" spans="4:46" x14ac:dyDescent="0.4">
      <c r="I53" s="457"/>
      <c r="J53" s="457"/>
      <c r="K53" s="457"/>
      <c r="L53" s="457"/>
      <c r="M53" s="21"/>
      <c r="N53" s="13">
        <f>N50/M50</f>
        <v>0.3</v>
      </c>
      <c r="O53" s="13"/>
      <c r="P53" s="13"/>
      <c r="Q53" s="429"/>
      <c r="R53" s="429"/>
      <c r="S53" s="430"/>
      <c r="T53" s="429"/>
      <c r="U53" s="429"/>
      <c r="V53" s="429"/>
      <c r="W53" s="429"/>
      <c r="X53" s="430"/>
      <c r="Y53" s="155"/>
      <c r="Z53" s="435"/>
      <c r="AA53" s="224"/>
      <c r="AB53" s="432"/>
      <c r="AD53" s="457"/>
      <c r="AE53" s="457"/>
      <c r="AF53" s="457"/>
      <c r="AG53" s="457"/>
      <c r="AH53" s="492"/>
      <c r="AJ53" s="430"/>
      <c r="AQ53" t="s">
        <v>245</v>
      </c>
      <c r="AS53" s="490">
        <v>4</v>
      </c>
      <c r="AT53" s="490">
        <v>1755</v>
      </c>
    </row>
    <row r="54" spans="4:46" x14ac:dyDescent="0.4">
      <c r="N54" s="13"/>
      <c r="O54" s="13"/>
      <c r="P54" s="13"/>
      <c r="Q54" s="429"/>
      <c r="R54" s="429"/>
      <c r="S54" s="430"/>
      <c r="T54" s="429"/>
      <c r="U54" s="429"/>
      <c r="V54" s="429"/>
      <c r="W54" s="429"/>
      <c r="X54" s="430"/>
      <c r="Y54" s="155"/>
      <c r="Z54" s="435"/>
      <c r="AA54" s="224"/>
      <c r="AB54" s="432"/>
      <c r="AD54" s="457"/>
      <c r="AE54" s="457"/>
      <c r="AF54" s="457"/>
      <c r="AG54" s="457"/>
      <c r="AH54" s="492"/>
      <c r="AJ54" s="430"/>
      <c r="AQ54" t="s">
        <v>246</v>
      </c>
      <c r="AS54">
        <v>15</v>
      </c>
      <c r="AT54">
        <v>3040</v>
      </c>
    </row>
    <row r="55" spans="4:46" x14ac:dyDescent="0.4">
      <c r="J55" s="457" t="s">
        <v>247</v>
      </c>
      <c r="K55" s="457"/>
      <c r="N55" s="13"/>
      <c r="O55" s="13"/>
      <c r="P55" s="13"/>
      <c r="Q55" s="429"/>
      <c r="R55" s="429"/>
      <c r="S55" s="430"/>
      <c r="T55" s="429"/>
      <c r="U55" s="429"/>
      <c r="V55" s="429"/>
      <c r="W55" s="429"/>
      <c r="X55" s="430"/>
      <c r="Y55" s="155"/>
      <c r="Z55" s="435"/>
      <c r="AA55" s="224"/>
      <c r="AB55" s="432"/>
      <c r="AD55" s="495"/>
      <c r="AE55" s="495"/>
      <c r="AF55" s="495"/>
      <c r="AG55" s="495"/>
      <c r="AH55" s="496" t="s">
        <v>66</v>
      </c>
      <c r="AJ55" s="430"/>
      <c r="AQ55" t="s">
        <v>248</v>
      </c>
      <c r="AS55">
        <v>56</v>
      </c>
      <c r="AT55">
        <v>47839</v>
      </c>
    </row>
    <row r="56" spans="4:46" ht="13.5" thickBot="1" x14ac:dyDescent="0.45">
      <c r="I56" s="457"/>
      <c r="J56" s="457"/>
      <c r="K56" s="457"/>
      <c r="L56" s="457"/>
      <c r="M56" s="21"/>
      <c r="N56" s="13"/>
      <c r="O56" s="13"/>
      <c r="P56" s="13"/>
      <c r="Q56" s="429"/>
      <c r="R56" s="429"/>
      <c r="S56" s="430"/>
      <c r="T56" s="429"/>
      <c r="U56" s="429"/>
      <c r="V56" s="429"/>
      <c r="W56" s="429"/>
      <c r="X56" s="430"/>
      <c r="Y56" s="155"/>
      <c r="Z56" s="435"/>
      <c r="AA56" s="224"/>
      <c r="AB56" s="432"/>
      <c r="AC56">
        <f>[4]France!C13</f>
        <v>34</v>
      </c>
      <c r="AD56" s="495" t="str">
        <f>[4]France!C3</f>
        <v> 900 MWe</v>
      </c>
      <c r="AE56" s="495">
        <f>[4]France!H13</f>
        <v>30770</v>
      </c>
      <c r="AF56" s="495"/>
      <c r="AG56" s="495"/>
      <c r="AH56" s="495"/>
      <c r="AJ56" s="430"/>
      <c r="AQ56" t="s">
        <v>249</v>
      </c>
      <c r="AS56">
        <v>20</v>
      </c>
      <c r="AT56">
        <v>16810</v>
      </c>
    </row>
    <row r="57" spans="4:46" ht="13.5" thickBot="1" x14ac:dyDescent="0.45">
      <c r="I57" s="457"/>
      <c r="J57" s="457"/>
      <c r="K57" s="457"/>
      <c r="L57" s="457"/>
      <c r="M57" s="21"/>
      <c r="N57" s="13"/>
      <c r="O57" s="13"/>
      <c r="P57" s="13"/>
      <c r="Q57" s="429"/>
      <c r="R57" s="429"/>
      <c r="S57" s="430"/>
      <c r="T57" s="429"/>
      <c r="U57" s="429"/>
      <c r="V57" s="429"/>
      <c r="W57" s="429"/>
      <c r="X57" s="430"/>
      <c r="Y57" s="155"/>
      <c r="Z57" s="435"/>
      <c r="AA57" s="436"/>
      <c r="AB57" s="437">
        <v>10527</v>
      </c>
      <c r="AC57" s="137"/>
      <c r="AD57" s="438">
        <v>1000</v>
      </c>
      <c r="AE57" s="497"/>
      <c r="AF57" s="498"/>
      <c r="AG57" s="499"/>
      <c r="AH57" s="500">
        <f>AE56*AG58*8.76/1000</f>
        <v>188.68163999999999</v>
      </c>
      <c r="AJ57" s="430"/>
      <c r="AQ57" t="s">
        <v>250</v>
      </c>
      <c r="AS57" s="490">
        <v>1</v>
      </c>
      <c r="AT57" s="490">
        <v>1185</v>
      </c>
    </row>
    <row r="58" spans="4:46" ht="13.5" thickBot="1" x14ac:dyDescent="0.45">
      <c r="I58" s="466"/>
      <c r="J58" s="459"/>
      <c r="K58" s="460"/>
      <c r="L58" s="461"/>
      <c r="M58" s="488">
        <f>AD69</f>
        <v>2.9935839999999998</v>
      </c>
      <c r="N58" s="489">
        <f>T11</f>
        <v>0.89807519999999996</v>
      </c>
      <c r="O58" s="137"/>
      <c r="P58" s="137"/>
      <c r="Q58" s="446"/>
      <c r="R58" s="445"/>
      <c r="S58" s="445"/>
      <c r="T58" s="429"/>
      <c r="U58" s="429"/>
      <c r="V58" s="429"/>
      <c r="W58" s="429"/>
      <c r="X58" s="430"/>
      <c r="Y58" s="155"/>
      <c r="Z58" s="435"/>
      <c r="AA58" s="224"/>
      <c r="AB58" s="432"/>
      <c r="AC58">
        <f>AI63/AD57</f>
        <v>0.39682905119999995</v>
      </c>
      <c r="AD58" s="495"/>
      <c r="AE58" s="501"/>
      <c r="AF58" s="502"/>
      <c r="AG58" s="503">
        <v>0.7</v>
      </c>
      <c r="AH58" s="504"/>
      <c r="AI58" s="449"/>
      <c r="AJ58" s="430"/>
      <c r="AQ58" t="s">
        <v>251</v>
      </c>
      <c r="AS58">
        <v>2</v>
      </c>
      <c r="AT58">
        <v>1310</v>
      </c>
    </row>
    <row r="59" spans="4:46" ht="13.5" thickBot="1" x14ac:dyDescent="0.45">
      <c r="I59" s="457"/>
      <c r="J59" s="464"/>
      <c r="K59" s="465"/>
      <c r="L59" s="466"/>
      <c r="M59" s="21"/>
      <c r="N59" s="13"/>
      <c r="Q59" s="429"/>
      <c r="R59" s="429"/>
      <c r="S59" s="430"/>
      <c r="T59" s="429"/>
      <c r="U59" s="429"/>
      <c r="V59" s="429"/>
      <c r="W59" s="429"/>
      <c r="X59" s="430"/>
      <c r="Y59" s="155"/>
      <c r="Z59" s="435"/>
      <c r="AA59" s="224"/>
      <c r="AB59" s="432"/>
      <c r="AD59" s="495"/>
      <c r="AE59" s="495"/>
      <c r="AF59" s="495"/>
      <c r="AG59" s="495"/>
      <c r="AH59" s="504"/>
      <c r="AI59" s="449"/>
      <c r="AJ59" s="430"/>
      <c r="AQ59" t="s">
        <v>252</v>
      </c>
      <c r="AS59" s="490">
        <v>1</v>
      </c>
      <c r="AT59" s="490">
        <v>449</v>
      </c>
    </row>
    <row r="60" spans="4:46" ht="13.5" thickBot="1" x14ac:dyDescent="0.45">
      <c r="I60" s="457"/>
      <c r="J60" s="457"/>
      <c r="K60" s="457"/>
      <c r="L60" s="457"/>
      <c r="M60" s="21"/>
      <c r="N60" s="13"/>
      <c r="O60" s="13"/>
      <c r="P60" s="13"/>
      <c r="Q60" s="429"/>
      <c r="R60" s="429"/>
      <c r="S60" s="430"/>
      <c r="T60" s="429"/>
      <c r="U60" s="429"/>
      <c r="V60" s="429"/>
      <c r="W60" s="429"/>
      <c r="X60" s="430"/>
      <c r="Y60" s="155"/>
      <c r="Z60" s="435"/>
      <c r="AA60" s="224"/>
      <c r="AB60" s="432"/>
      <c r="AC60">
        <f>[4]France!C21</f>
        <v>20</v>
      </c>
      <c r="AD60" s="495" t="str">
        <f>[4]France!C14</f>
        <v> 1300 MWe</v>
      </c>
      <c r="AE60" s="495">
        <f>[4]France!H21</f>
        <v>26370</v>
      </c>
      <c r="AF60" s="495"/>
      <c r="AG60" s="495"/>
      <c r="AH60" s="504"/>
      <c r="AI60" s="449"/>
      <c r="AJ60" s="430"/>
      <c r="AQ60" t="s">
        <v>253</v>
      </c>
      <c r="AS60">
        <v>2</v>
      </c>
      <c r="AT60">
        <v>425</v>
      </c>
    </row>
    <row r="61" spans="4:46" ht="13.5" thickBot="1" x14ac:dyDescent="0.45">
      <c r="I61" s="457"/>
      <c r="J61" s="457"/>
      <c r="K61" s="457"/>
      <c r="L61" s="457"/>
      <c r="M61" s="21"/>
      <c r="N61" s="505">
        <f>M58</f>
        <v>2.9935839999999998</v>
      </c>
      <c r="O61" s="13"/>
      <c r="P61" s="13"/>
      <c r="Q61" s="429"/>
      <c r="R61" s="429"/>
      <c r="S61" s="430"/>
      <c r="T61" s="429"/>
      <c r="U61" s="429"/>
      <c r="V61" s="429"/>
      <c r="W61" s="429"/>
      <c r="X61" s="430"/>
      <c r="Y61" s="155"/>
      <c r="Z61" s="435"/>
      <c r="AA61" s="436"/>
      <c r="AB61" s="453"/>
      <c r="AC61" s="137"/>
      <c r="AD61" s="357"/>
      <c r="AE61" s="497"/>
      <c r="AF61" s="498"/>
      <c r="AG61" s="499"/>
      <c r="AH61" s="506">
        <f>AE60*AG62*8.76/1000</f>
        <v>166.32086399999997</v>
      </c>
      <c r="AI61" s="449"/>
      <c r="AJ61" s="430"/>
      <c r="AQ61" t="s">
        <v>254</v>
      </c>
      <c r="AS61" s="490">
        <v>1</v>
      </c>
      <c r="AT61" s="490">
        <v>655</v>
      </c>
    </row>
    <row r="62" spans="4:46" ht="13.5" thickBot="1" x14ac:dyDescent="0.45">
      <c r="N62" s="13"/>
      <c r="O62" s="13"/>
      <c r="P62" s="13"/>
      <c r="Q62" s="429"/>
      <c r="R62" s="429"/>
      <c r="S62" s="430"/>
      <c r="T62" s="429"/>
      <c r="U62" s="429"/>
      <c r="V62" s="429"/>
      <c r="W62" s="429"/>
      <c r="X62" s="430"/>
      <c r="Y62" s="155"/>
      <c r="Z62" s="435"/>
      <c r="AA62" s="224"/>
      <c r="AB62" s="432"/>
      <c r="AD62" s="495"/>
      <c r="AE62" s="501"/>
      <c r="AF62" s="502"/>
      <c r="AG62" s="503">
        <v>0.72</v>
      </c>
      <c r="AH62" s="504"/>
      <c r="AI62" s="449"/>
      <c r="AJ62" s="430"/>
      <c r="AQ62" t="s">
        <v>255</v>
      </c>
      <c r="AS62">
        <v>31</v>
      </c>
      <c r="AT62">
        <v>21743</v>
      </c>
    </row>
    <row r="63" spans="4:46" ht="13.5" thickBot="1" x14ac:dyDescent="0.45">
      <c r="E63" s="428" t="s">
        <v>256</v>
      </c>
      <c r="F63" s="428"/>
      <c r="H63" s="13"/>
      <c r="J63" s="457" t="s">
        <v>257</v>
      </c>
      <c r="K63" s="457"/>
      <c r="N63" s="13"/>
      <c r="O63" s="13"/>
      <c r="P63" s="13"/>
      <c r="Q63" s="429"/>
      <c r="R63" s="429"/>
      <c r="S63" s="430"/>
      <c r="T63" s="429"/>
      <c r="U63" s="429"/>
      <c r="V63" s="429"/>
      <c r="W63" s="429"/>
      <c r="X63" s="430"/>
      <c r="Y63" s="155"/>
      <c r="Z63" s="435"/>
      <c r="AA63" s="224"/>
      <c r="AB63" s="432"/>
      <c r="AD63" s="495"/>
      <c r="AE63" s="495"/>
      <c r="AF63" s="495"/>
      <c r="AG63" s="495"/>
      <c r="AH63" s="504"/>
      <c r="AI63" s="472">
        <f>AH57+AH61+AH65+AH69</f>
        <v>396.82905119999992</v>
      </c>
      <c r="AJ63" s="430"/>
      <c r="AQ63" t="s">
        <v>258</v>
      </c>
      <c r="AS63">
        <v>2</v>
      </c>
      <c r="AT63">
        <v>1800</v>
      </c>
    </row>
    <row r="64" spans="4:46" ht="13.5" thickBot="1" x14ac:dyDescent="0.45">
      <c r="D64" s="428"/>
      <c r="E64" s="428"/>
      <c r="F64" s="428"/>
      <c r="G64" s="428"/>
      <c r="H64" s="224"/>
      <c r="I64" s="457"/>
      <c r="J64" s="457"/>
      <c r="K64" s="457"/>
      <c r="L64" s="457"/>
      <c r="M64" s="21"/>
      <c r="N64" s="13"/>
      <c r="O64" s="13"/>
      <c r="P64" s="13"/>
      <c r="Q64" s="429"/>
      <c r="R64" s="429"/>
      <c r="S64" s="430"/>
      <c r="T64" s="429"/>
      <c r="U64" s="429"/>
      <c r="V64" s="429"/>
      <c r="W64" s="429"/>
      <c r="X64" s="430"/>
      <c r="Y64" s="155"/>
      <c r="Z64" s="435"/>
      <c r="AA64" s="224"/>
      <c r="AB64" s="432"/>
      <c r="AC64">
        <f>[4]France!C23</f>
        <v>4</v>
      </c>
      <c r="AD64" s="495" t="str">
        <f>[4]France!C22</f>
        <v> N4 - 1450 MWe</v>
      </c>
      <c r="AE64" s="495">
        <f>[4]France!H23</f>
        <v>5990</v>
      </c>
      <c r="AF64" s="495"/>
      <c r="AG64" s="495"/>
      <c r="AH64" s="504"/>
      <c r="AI64" s="449"/>
      <c r="AJ64" s="430"/>
      <c r="AQ64" t="s">
        <v>259</v>
      </c>
      <c r="AS64" s="490">
        <v>6</v>
      </c>
      <c r="AT64" s="490">
        <v>2442</v>
      </c>
    </row>
    <row r="65" spans="4:61" ht="13.5" thickBot="1" x14ac:dyDescent="0.45">
      <c r="D65" s="224"/>
      <c r="E65" s="428"/>
      <c r="F65" s="428"/>
      <c r="G65" s="428"/>
      <c r="H65" s="224"/>
      <c r="I65" s="457"/>
      <c r="J65" s="457"/>
      <c r="K65" s="457"/>
      <c r="L65" s="457"/>
      <c r="M65" s="21"/>
      <c r="N65" s="13"/>
      <c r="O65" s="13"/>
      <c r="P65" s="13"/>
      <c r="Q65" s="429"/>
      <c r="R65" s="429"/>
      <c r="S65" s="430"/>
      <c r="T65" s="429"/>
      <c r="U65" s="429"/>
      <c r="V65" s="429"/>
      <c r="W65" s="429"/>
      <c r="X65" s="430"/>
      <c r="Y65" s="155"/>
      <c r="Z65" s="435"/>
      <c r="AA65" s="436"/>
      <c r="AB65" s="453"/>
      <c r="AC65" s="137"/>
      <c r="AD65" s="357"/>
      <c r="AE65" s="497"/>
      <c r="AF65" s="498"/>
      <c r="AG65" s="499"/>
      <c r="AH65" s="506">
        <f>AE64*AG66*8.76/1000</f>
        <v>40.928471999999992</v>
      </c>
      <c r="AI65" s="449"/>
      <c r="AJ65" s="430"/>
      <c r="AQ65" t="s">
        <v>260</v>
      </c>
      <c r="AS65" s="490">
        <v>1</v>
      </c>
      <c r="AT65" s="490">
        <v>656</v>
      </c>
    </row>
    <row r="66" spans="4:61" ht="13.5" thickBot="1" x14ac:dyDescent="0.45">
      <c r="D66" s="507">
        <f>H66/E67</f>
        <v>246.62192399999998</v>
      </c>
      <c r="E66" s="440"/>
      <c r="F66" s="441"/>
      <c r="G66" s="442"/>
      <c r="H66" s="443">
        <f>I66+I74</f>
        <v>246.62192399999998</v>
      </c>
      <c r="I66" s="466">
        <f>M66/J67</f>
        <v>226.20674399999999</v>
      </c>
      <c r="J66" s="459"/>
      <c r="K66" s="460"/>
      <c r="L66" s="461"/>
      <c r="M66" s="339">
        <f>SUM(AD27,AD37,AD47,AD85,AD103,AD107,AD113)</f>
        <v>226.20674399999999</v>
      </c>
      <c r="N66" s="475">
        <f>Y11</f>
        <v>71.152224000000004</v>
      </c>
      <c r="O66" s="137"/>
      <c r="P66" s="200"/>
      <c r="Q66" s="445"/>
      <c r="R66" s="445"/>
      <c r="S66" s="446"/>
      <c r="T66" s="445"/>
      <c r="U66" s="445"/>
      <c r="V66" s="445"/>
      <c r="W66" s="445"/>
      <c r="X66" s="446"/>
      <c r="Y66" s="155"/>
      <c r="Z66" s="435"/>
      <c r="AA66" s="224"/>
      <c r="AB66" s="432"/>
      <c r="AD66" s="495"/>
      <c r="AE66" s="501"/>
      <c r="AF66" s="502"/>
      <c r="AG66" s="503">
        <v>0.78</v>
      </c>
      <c r="AH66" s="504"/>
      <c r="AI66" s="449"/>
      <c r="AJ66" s="430"/>
      <c r="AQ66" t="s">
        <v>261</v>
      </c>
      <c r="AS66" s="490">
        <v>9</v>
      </c>
      <c r="AT66" s="490">
        <v>7588</v>
      </c>
    </row>
    <row r="67" spans="4:61" ht="13.5" thickBot="1" x14ac:dyDescent="0.45">
      <c r="D67" s="428"/>
      <c r="E67" s="450">
        <v>1</v>
      </c>
      <c r="F67" s="436"/>
      <c r="G67" s="451"/>
      <c r="H67" s="224"/>
      <c r="I67" s="457"/>
      <c r="J67" s="464">
        <v>1</v>
      </c>
      <c r="K67" s="465"/>
      <c r="L67" s="466"/>
      <c r="M67" s="21"/>
      <c r="N67" s="13"/>
      <c r="Q67" s="429"/>
      <c r="R67" s="429"/>
      <c r="S67" s="429"/>
      <c r="T67" s="429"/>
      <c r="U67" s="429"/>
      <c r="V67" s="429"/>
      <c r="W67" s="429"/>
      <c r="X67" s="430"/>
      <c r="Y67" s="155"/>
      <c r="Z67" s="435"/>
      <c r="AA67" s="224"/>
      <c r="AB67" s="432"/>
      <c r="AD67" s="495"/>
      <c r="AE67" s="495"/>
      <c r="AF67" s="495"/>
      <c r="AG67" s="495"/>
      <c r="AH67" s="504"/>
      <c r="AI67" s="449"/>
      <c r="AJ67" s="430"/>
      <c r="AQ67" t="s">
        <v>262</v>
      </c>
      <c r="AS67" s="490">
        <v>10</v>
      </c>
      <c r="AT67" s="490">
        <v>8910</v>
      </c>
    </row>
    <row r="68" spans="4:61" ht="13.5" thickBot="1" x14ac:dyDescent="0.45">
      <c r="D68" s="428"/>
      <c r="E68" s="428"/>
      <c r="F68" s="428"/>
      <c r="G68" s="428"/>
      <c r="H68" s="224"/>
      <c r="I68" s="457"/>
      <c r="J68" s="457"/>
      <c r="K68" s="457"/>
      <c r="L68" s="457"/>
      <c r="M68" s="21"/>
      <c r="N68" s="13"/>
      <c r="O68" s="13"/>
      <c r="P68" s="13"/>
      <c r="Q68" s="429"/>
      <c r="R68" s="429"/>
      <c r="S68" s="430"/>
      <c r="T68" s="429"/>
      <c r="U68" s="429"/>
      <c r="V68" s="429"/>
      <c r="W68" s="429"/>
      <c r="X68" s="430"/>
      <c r="Y68" s="155"/>
      <c r="Z68" s="435"/>
      <c r="AA68" s="224"/>
      <c r="AB68" s="432"/>
      <c r="AC68">
        <f>[4]France!B24</f>
        <v>1</v>
      </c>
      <c r="AD68" s="495" t="str">
        <f>[4]France!C24</f>
        <v> FBR</v>
      </c>
      <c r="AE68" s="495">
        <f>[4]France!H24</f>
        <v>233</v>
      </c>
      <c r="AF68" s="495"/>
      <c r="AG68" s="495"/>
      <c r="AH68" s="504"/>
      <c r="AI68" s="449"/>
      <c r="AJ68" s="430"/>
      <c r="AQ68" t="s">
        <v>263</v>
      </c>
      <c r="AS68" s="490">
        <v>5</v>
      </c>
      <c r="AT68" s="490">
        <v>3220</v>
      </c>
    </row>
    <row r="69" spans="4:61" ht="13.5" thickBot="1" x14ac:dyDescent="0.45">
      <c r="D69" s="428"/>
      <c r="E69" s="428"/>
      <c r="F69" s="428"/>
      <c r="G69" s="428"/>
      <c r="H69" s="224"/>
      <c r="I69" s="457"/>
      <c r="J69" s="457"/>
      <c r="K69" s="457"/>
      <c r="L69" s="457"/>
      <c r="M69" s="21"/>
      <c r="N69" s="13">
        <f>N66/M66</f>
        <v>0.31454510480907683</v>
      </c>
      <c r="O69" s="13"/>
      <c r="P69" s="13"/>
      <c r="Q69" s="429"/>
      <c r="R69" s="429"/>
      <c r="S69" s="430"/>
      <c r="T69" s="445"/>
      <c r="U69" s="445"/>
      <c r="V69" s="445"/>
      <c r="W69" s="445"/>
      <c r="X69" s="446"/>
      <c r="Y69" s="199"/>
      <c r="Z69" s="447"/>
      <c r="AA69" s="436"/>
      <c r="AB69" s="453"/>
      <c r="AC69" s="508"/>
      <c r="AD69" s="509">
        <f>AH69/AC70</f>
        <v>2.9935839999999998</v>
      </c>
      <c r="AE69" s="497"/>
      <c r="AF69" s="498"/>
      <c r="AG69" s="499"/>
      <c r="AH69" s="506">
        <f>AE68*AG70*8.76/1000</f>
        <v>0.89807519999999996</v>
      </c>
      <c r="AI69" s="449"/>
      <c r="AJ69" s="430"/>
      <c r="AQ69" t="s">
        <v>104</v>
      </c>
      <c r="AS69" s="490">
        <v>23</v>
      </c>
      <c r="AT69" s="490">
        <v>11852</v>
      </c>
    </row>
    <row r="70" spans="4:61" ht="13.5" thickBot="1" x14ac:dyDescent="0.45">
      <c r="N70" s="13"/>
      <c r="O70" s="13"/>
      <c r="P70" s="13"/>
      <c r="Q70" s="429"/>
      <c r="R70" s="429"/>
      <c r="S70" s="430"/>
      <c r="T70" s="429"/>
      <c r="U70" s="429"/>
      <c r="V70" s="429"/>
      <c r="W70" s="429"/>
      <c r="X70" s="430"/>
      <c r="Y70" s="155"/>
      <c r="Z70" s="435"/>
      <c r="AA70" s="224"/>
      <c r="AB70" s="432"/>
      <c r="AC70" s="510">
        <v>0.3</v>
      </c>
      <c r="AD70" s="511"/>
      <c r="AE70" s="501"/>
      <c r="AF70" s="502"/>
      <c r="AG70" s="503">
        <v>0.44</v>
      </c>
      <c r="AH70" s="495"/>
      <c r="AJ70" s="430"/>
      <c r="AQ70" t="s">
        <v>264</v>
      </c>
      <c r="AS70">
        <v>15</v>
      </c>
      <c r="AT70">
        <v>13107</v>
      </c>
    </row>
    <row r="71" spans="4:61" x14ac:dyDescent="0.4">
      <c r="J71" s="457" t="s">
        <v>265</v>
      </c>
      <c r="K71" s="457"/>
      <c r="N71" s="13"/>
      <c r="O71" s="13"/>
      <c r="P71" s="13"/>
      <c r="Q71" s="429"/>
      <c r="R71" s="429"/>
      <c r="S71" s="430"/>
      <c r="T71" s="429"/>
      <c r="U71" s="429"/>
      <c r="V71" s="429"/>
      <c r="W71" s="429"/>
      <c r="X71" s="430"/>
      <c r="Y71" s="155"/>
      <c r="Z71" s="435"/>
      <c r="AA71" s="224"/>
      <c r="AB71" s="432"/>
      <c r="AD71" s="495"/>
      <c r="AE71" s="495"/>
      <c r="AF71" s="495"/>
      <c r="AG71" s="495"/>
      <c r="AH71" s="495"/>
      <c r="AJ71" s="430"/>
      <c r="AQ71" t="s">
        <v>76</v>
      </c>
      <c r="AS71">
        <v>104</v>
      </c>
      <c r="AT71">
        <v>99210</v>
      </c>
      <c r="BE71">
        <v>20933</v>
      </c>
      <c r="BF71">
        <v>16</v>
      </c>
      <c r="BG71">
        <v>11404</v>
      </c>
      <c r="BH71">
        <v>3</v>
      </c>
      <c r="BI71">
        <v>1039</v>
      </c>
    </row>
    <row r="72" spans="4:61" x14ac:dyDescent="0.4">
      <c r="I72" s="457"/>
      <c r="J72" s="457"/>
      <c r="K72" s="457"/>
      <c r="L72" s="457"/>
      <c r="M72" s="21"/>
      <c r="N72" s="13"/>
      <c r="O72" s="13"/>
      <c r="P72" s="13"/>
      <c r="Q72" s="429"/>
      <c r="R72" s="429"/>
      <c r="S72" s="430"/>
      <c r="T72" s="429"/>
      <c r="U72" s="429"/>
      <c r="V72" s="429"/>
      <c r="W72" s="429"/>
      <c r="X72" s="430"/>
      <c r="Y72" s="155"/>
      <c r="Z72" s="435"/>
      <c r="AA72" s="224"/>
      <c r="AB72" s="432"/>
      <c r="AD72" s="495"/>
      <c r="AE72" s="495"/>
      <c r="AF72" s="495"/>
      <c r="AG72" s="495"/>
      <c r="AH72" s="495"/>
      <c r="AJ72" s="430"/>
      <c r="AQ72" t="s">
        <v>120</v>
      </c>
      <c r="AS72">
        <v>443</v>
      </c>
      <c r="AT72">
        <v>369552</v>
      </c>
    </row>
    <row r="73" spans="4:61" ht="13.5" thickBot="1" x14ac:dyDescent="0.45">
      <c r="I73" s="457"/>
      <c r="J73" s="457"/>
      <c r="K73" s="457"/>
      <c r="L73" s="457"/>
      <c r="M73" s="21"/>
      <c r="N73" s="13"/>
      <c r="O73" s="13"/>
      <c r="P73" s="13"/>
      <c r="Q73" s="429"/>
      <c r="R73" s="429"/>
      <c r="S73" s="430"/>
      <c r="T73" s="429"/>
      <c r="U73" s="429"/>
      <c r="V73" s="429"/>
      <c r="W73" s="429"/>
      <c r="X73" s="430"/>
      <c r="Y73" s="155"/>
      <c r="Z73" s="435"/>
      <c r="AA73" s="224"/>
      <c r="AB73" s="432"/>
      <c r="AC73" s="11"/>
      <c r="AD73" s="512"/>
      <c r="AE73" s="512"/>
      <c r="AF73" s="512"/>
      <c r="AG73" s="512"/>
      <c r="AH73" s="513" t="s">
        <v>95</v>
      </c>
      <c r="AJ73" s="430"/>
    </row>
    <row r="74" spans="4:61" ht="13.5" thickBot="1" x14ac:dyDescent="0.45">
      <c r="I74" s="514">
        <f>M74/J75</f>
        <v>20.415179999999999</v>
      </c>
      <c r="J74" s="459"/>
      <c r="K74" s="460"/>
      <c r="L74" s="461"/>
      <c r="M74" s="488">
        <f>AD91</f>
        <v>20.415179999999999</v>
      </c>
      <c r="N74" s="489">
        <f>U11</f>
        <v>6.1245539999999998</v>
      </c>
      <c r="O74" s="137"/>
      <c r="P74" s="137"/>
      <c r="Q74" s="445"/>
      <c r="R74" s="445"/>
      <c r="S74" s="430"/>
      <c r="T74" s="429"/>
      <c r="U74" s="429"/>
      <c r="V74" s="429"/>
      <c r="W74" s="429"/>
      <c r="X74" s="430"/>
      <c r="Y74" s="155"/>
      <c r="Z74" s="435"/>
      <c r="AA74" s="224"/>
      <c r="AB74" s="432"/>
      <c r="AC74" s="11">
        <f>[4]Germany!B28</f>
        <v>12</v>
      </c>
      <c r="AD74" s="512" t="s">
        <v>218</v>
      </c>
      <c r="AE74" s="512">
        <v>13968</v>
      </c>
      <c r="AF74" s="512"/>
      <c r="AG74" s="512"/>
      <c r="AH74" s="512"/>
      <c r="AJ74" s="430"/>
    </row>
    <row r="75" spans="4:61" ht="13.5" thickBot="1" x14ac:dyDescent="0.45">
      <c r="I75" s="457"/>
      <c r="J75" s="464">
        <v>1</v>
      </c>
      <c r="K75" s="465"/>
      <c r="L75" s="466"/>
      <c r="M75" s="21"/>
      <c r="N75" s="13"/>
      <c r="Q75" s="429"/>
      <c r="R75" s="429"/>
      <c r="S75" s="430"/>
      <c r="T75" s="429"/>
      <c r="U75" s="429"/>
      <c r="V75" s="429"/>
      <c r="W75" s="429"/>
      <c r="X75" s="430"/>
      <c r="Y75" s="155"/>
      <c r="Z75" s="435"/>
      <c r="AA75" s="436"/>
      <c r="AB75" s="437">
        <v>3332</v>
      </c>
      <c r="AC75" s="266"/>
      <c r="AD75" s="438">
        <v>303</v>
      </c>
      <c r="AE75" s="515"/>
      <c r="AF75" s="516"/>
      <c r="AG75" s="517"/>
      <c r="AH75" s="518">
        <f>AE74*AG76*8.76/1000</f>
        <v>97.887744000000012</v>
      </c>
      <c r="AJ75" s="430"/>
      <c r="AQ75" t="s">
        <v>266</v>
      </c>
      <c r="AT75">
        <f>AT44+AT46+AT49+AT50+AT51+AT52+AT53+AT57+AT59+AT61+AT65+AT64+AT66+AT67+AT68+AT69</f>
        <v>136981</v>
      </c>
      <c r="AU75" t="s">
        <v>267</v>
      </c>
    </row>
    <row r="76" spans="4:61" ht="13.5" thickBot="1" x14ac:dyDescent="0.45">
      <c r="I76" s="457"/>
      <c r="J76" s="457"/>
      <c r="K76" s="457"/>
      <c r="L76" s="457"/>
      <c r="M76" s="21"/>
      <c r="N76" s="13"/>
      <c r="O76" s="13"/>
      <c r="P76" s="13"/>
      <c r="Q76" s="429"/>
      <c r="R76" s="429"/>
      <c r="S76" s="430"/>
      <c r="T76" s="429"/>
      <c r="U76" s="429"/>
      <c r="V76" s="429"/>
      <c r="W76" s="429"/>
      <c r="X76" s="430"/>
      <c r="Y76" s="155"/>
      <c r="Z76" s="435"/>
      <c r="AA76" s="224"/>
      <c r="AB76" s="432"/>
      <c r="AC76" s="11">
        <f>AH75/AD75</f>
        <v>0.32306186138613863</v>
      </c>
      <c r="AD76" s="512"/>
      <c r="AE76" s="519"/>
      <c r="AF76" s="520"/>
      <c r="AG76" s="521">
        <v>0.8</v>
      </c>
      <c r="AH76" s="522"/>
      <c r="AJ76" s="430"/>
    </row>
    <row r="77" spans="4:61" ht="13.5" thickBot="1" x14ac:dyDescent="0.45">
      <c r="I77" s="457"/>
      <c r="J77" s="457"/>
      <c r="K77" s="457"/>
      <c r="L77" s="457"/>
      <c r="M77" s="21"/>
      <c r="N77" s="13">
        <f>N74/M74</f>
        <v>0.3</v>
      </c>
      <c r="O77" s="13"/>
      <c r="P77" s="13"/>
      <c r="Q77" s="429"/>
      <c r="R77" s="429"/>
      <c r="S77" s="430"/>
      <c r="T77" s="429"/>
      <c r="U77" s="429"/>
      <c r="V77" s="429"/>
      <c r="W77" s="429"/>
      <c r="X77" s="430"/>
      <c r="Y77" s="155"/>
      <c r="Z77" s="435"/>
      <c r="AA77" s="224"/>
      <c r="AB77" s="432"/>
      <c r="AC77" s="11"/>
      <c r="AD77" s="512"/>
      <c r="AE77" s="512"/>
      <c r="AF77" s="512"/>
      <c r="AG77" s="512"/>
      <c r="AH77" s="522"/>
      <c r="AI77" s="472">
        <f>AH75+AH79</f>
        <v>141.41951280000001</v>
      </c>
      <c r="AJ77" s="430"/>
    </row>
    <row r="78" spans="4:61" ht="13.5" thickBot="1" x14ac:dyDescent="0.45">
      <c r="N78" s="13"/>
      <c r="O78" s="13"/>
      <c r="P78" s="13"/>
      <c r="Q78" s="429"/>
      <c r="R78" s="429"/>
      <c r="S78" s="430"/>
      <c r="T78" s="429"/>
      <c r="U78" s="429"/>
      <c r="V78" s="429"/>
      <c r="W78" s="429"/>
      <c r="X78" s="430"/>
      <c r="Y78" s="155"/>
      <c r="Z78" s="435"/>
      <c r="AA78" s="224"/>
      <c r="AB78" s="432"/>
      <c r="AC78" s="11">
        <f>[4]Germany!B32</f>
        <v>5</v>
      </c>
      <c r="AD78" s="512" t="s">
        <v>217</v>
      </c>
      <c r="AE78" s="512">
        <v>6371</v>
      </c>
      <c r="AF78" s="512"/>
      <c r="AG78" s="512"/>
      <c r="AH78" s="522"/>
      <c r="AJ78" s="430"/>
    </row>
    <row r="79" spans="4:61" ht="13.5" thickBot="1" x14ac:dyDescent="0.45">
      <c r="J79" s="457" t="s">
        <v>268</v>
      </c>
      <c r="K79" s="457"/>
      <c r="N79" s="13"/>
      <c r="O79" s="13"/>
      <c r="P79" s="13"/>
      <c r="Q79" s="429"/>
      <c r="R79" s="429"/>
      <c r="S79" s="430"/>
      <c r="T79" s="429"/>
      <c r="U79" s="429"/>
      <c r="V79" s="429"/>
      <c r="W79" s="429"/>
      <c r="X79" s="430"/>
      <c r="Y79" s="155"/>
      <c r="Z79" s="447"/>
      <c r="AA79" s="436"/>
      <c r="AB79" s="453"/>
      <c r="AC79" s="266"/>
      <c r="AD79" s="267">
        <v>110</v>
      </c>
      <c r="AE79" s="515"/>
      <c r="AF79" s="516"/>
      <c r="AG79" s="517"/>
      <c r="AH79" s="518">
        <f>AE78*AG80*8.76/1000</f>
        <v>43.531768799999995</v>
      </c>
      <c r="AJ79" s="430"/>
    </row>
    <row r="80" spans="4:61" ht="13.5" thickBot="1" x14ac:dyDescent="0.45">
      <c r="I80" s="457"/>
      <c r="J80" s="457"/>
      <c r="K80" s="457"/>
      <c r="L80" s="457"/>
      <c r="M80" s="21"/>
      <c r="O80" s="13"/>
      <c r="P80" s="13"/>
      <c r="Q80" s="429"/>
      <c r="R80" s="429"/>
      <c r="S80" s="430"/>
      <c r="T80" s="429"/>
      <c r="U80" s="429"/>
      <c r="V80" s="429"/>
      <c r="W80" s="429"/>
      <c r="X80" s="430"/>
      <c r="Y80" s="155"/>
      <c r="Z80" s="435"/>
      <c r="AA80" s="224"/>
      <c r="AB80" s="432"/>
      <c r="AC80" s="11">
        <f>AH79/AD79</f>
        <v>0.39574335272727268</v>
      </c>
      <c r="AD80" s="512"/>
      <c r="AE80" s="519"/>
      <c r="AF80" s="520"/>
      <c r="AG80" s="521">
        <v>0.78</v>
      </c>
      <c r="AH80" s="522"/>
      <c r="AJ80" s="430"/>
    </row>
    <row r="81" spans="9:36" ht="13.5" thickBot="1" x14ac:dyDescent="0.45">
      <c r="I81" s="457"/>
      <c r="J81" s="457"/>
      <c r="K81" s="457"/>
      <c r="L81" s="457"/>
      <c r="M81" s="21"/>
      <c r="Q81" s="429"/>
      <c r="R81" s="429"/>
      <c r="S81" s="430"/>
      <c r="T81" s="429"/>
      <c r="U81" s="429"/>
      <c r="V81" s="429"/>
      <c r="W81" s="429"/>
      <c r="X81" s="430"/>
      <c r="Y81" s="155"/>
      <c r="Z81" s="435"/>
      <c r="AA81" s="224"/>
      <c r="AB81" s="432"/>
      <c r="AD81" s="523"/>
      <c r="AE81" s="523"/>
      <c r="AF81" s="523"/>
      <c r="AG81" s="523"/>
      <c r="AH81" s="522"/>
      <c r="AJ81" s="430"/>
    </row>
    <row r="82" spans="9:36" ht="13.5" thickBot="1" x14ac:dyDescent="0.45">
      <c r="I82" s="524">
        <f>M82/J83</f>
        <v>1E-4</v>
      </c>
      <c r="J82" s="459"/>
      <c r="K82" s="460"/>
      <c r="L82" s="461"/>
      <c r="M82" s="488">
        <v>1E-4</v>
      </c>
      <c r="N82" s="525">
        <f>R11</f>
        <v>0</v>
      </c>
      <c r="O82" s="137"/>
      <c r="P82" s="137"/>
      <c r="Q82" s="445"/>
      <c r="R82" s="429"/>
      <c r="S82" s="430"/>
      <c r="T82" s="429"/>
      <c r="U82" s="429"/>
      <c r="V82" s="429"/>
      <c r="W82" s="429"/>
      <c r="X82" s="430"/>
      <c r="Y82" s="155"/>
      <c r="Z82" s="435"/>
      <c r="AA82" s="224"/>
      <c r="AB82" s="432"/>
      <c r="AD82" s="523"/>
      <c r="AE82" s="523"/>
      <c r="AF82" s="523"/>
      <c r="AG82" s="523"/>
      <c r="AH82" s="522"/>
      <c r="AJ82" s="430"/>
    </row>
    <row r="83" spans="9:36" ht="13.5" thickBot="1" x14ac:dyDescent="0.45">
      <c r="I83" s="457"/>
      <c r="J83" s="464">
        <v>1</v>
      </c>
      <c r="K83" s="465"/>
      <c r="L83" s="466"/>
      <c r="M83" s="21"/>
      <c r="Q83" s="429"/>
      <c r="R83" s="429"/>
      <c r="S83" s="430"/>
      <c r="T83" s="429"/>
      <c r="U83" s="429"/>
      <c r="V83" s="429"/>
      <c r="W83" s="429"/>
      <c r="X83" s="430"/>
      <c r="Y83" s="155"/>
      <c r="Z83" s="435"/>
      <c r="AA83" s="224"/>
      <c r="AB83" s="432"/>
      <c r="AD83" s="526"/>
      <c r="AE83" s="526"/>
      <c r="AF83" s="526"/>
      <c r="AG83" s="526"/>
      <c r="AH83" s="527" t="s">
        <v>269</v>
      </c>
      <c r="AJ83" s="430"/>
    </row>
    <row r="84" spans="9:36" ht="13.5" thickBot="1" x14ac:dyDescent="0.45">
      <c r="I84" s="457"/>
      <c r="J84" s="457"/>
      <c r="K84" s="457"/>
      <c r="L84" s="457"/>
      <c r="M84" s="21"/>
      <c r="Q84" s="429"/>
      <c r="R84" s="429"/>
      <c r="S84" s="430"/>
      <c r="T84" s="429"/>
      <c r="U84" s="429"/>
      <c r="V84" s="429"/>
      <c r="W84" s="429"/>
      <c r="X84" s="430"/>
      <c r="Y84" s="155"/>
      <c r="Z84" s="435"/>
      <c r="AA84" s="224"/>
      <c r="AB84" s="432"/>
      <c r="AC84">
        <v>4</v>
      </c>
      <c r="AD84" s="526" t="s">
        <v>270</v>
      </c>
      <c r="AE84" s="526">
        <v>1826</v>
      </c>
      <c r="AF84" s="526"/>
      <c r="AG84" s="526"/>
      <c r="AH84" s="528"/>
      <c r="AJ84" s="430"/>
    </row>
    <row r="85" spans="9:36" ht="13.5" thickBot="1" x14ac:dyDescent="0.45">
      <c r="I85" s="457"/>
      <c r="J85" s="457"/>
      <c r="K85" s="457"/>
      <c r="L85" s="457"/>
      <c r="M85" s="21"/>
      <c r="N85" s="13">
        <f>N82/M82</f>
        <v>0</v>
      </c>
      <c r="Q85" s="429"/>
      <c r="R85" s="429"/>
      <c r="S85" s="430"/>
      <c r="T85" s="429"/>
      <c r="U85" s="429"/>
      <c r="V85" s="429"/>
      <c r="W85" s="429"/>
      <c r="X85" s="430"/>
      <c r="Y85" s="199"/>
      <c r="Z85" s="447"/>
      <c r="AA85" s="436"/>
      <c r="AB85" s="437">
        <v>271</v>
      </c>
      <c r="AC85" s="137"/>
      <c r="AD85" s="267">
        <v>46</v>
      </c>
      <c r="AE85" s="529"/>
      <c r="AF85" s="530"/>
      <c r="AG85" s="531"/>
      <c r="AH85" s="532">
        <f>AE84*AG86*8.76/1000</f>
        <v>14.076268799999999</v>
      </c>
      <c r="AI85" s="533">
        <f>AH85</f>
        <v>14.076268799999999</v>
      </c>
      <c r="AJ85" s="430"/>
    </row>
    <row r="86" spans="9:36" ht="13.5" thickBot="1" x14ac:dyDescent="0.45">
      <c r="Q86" s="429"/>
      <c r="R86" s="429"/>
      <c r="S86" s="429"/>
      <c r="T86" s="429"/>
      <c r="U86" s="429"/>
      <c r="V86" s="429"/>
      <c r="W86" s="429"/>
      <c r="X86" s="430"/>
      <c r="Y86" s="155"/>
      <c r="Z86" s="435"/>
      <c r="AA86" s="224"/>
      <c r="AB86" s="432"/>
      <c r="AC86">
        <f>AI85/AD85</f>
        <v>0.30600584347826087</v>
      </c>
      <c r="AD86" s="526"/>
      <c r="AE86" s="534"/>
      <c r="AF86" s="535"/>
      <c r="AG86" s="536">
        <v>0.88</v>
      </c>
      <c r="AH86" s="537">
        <f>AE85*AG87*8.76/1000</f>
        <v>0</v>
      </c>
      <c r="AJ86" s="430"/>
    </row>
    <row r="87" spans="9:36" x14ac:dyDescent="0.4">
      <c r="J87" s="457" t="s">
        <v>271</v>
      </c>
      <c r="K87" s="457"/>
      <c r="Q87" s="429"/>
      <c r="R87" s="429"/>
      <c r="S87" s="429"/>
      <c r="T87" s="429"/>
      <c r="U87" s="429"/>
      <c r="V87" s="429"/>
      <c r="W87" s="429"/>
      <c r="X87" s="430"/>
      <c r="Y87" s="155"/>
      <c r="Z87" s="435"/>
      <c r="AA87" s="224"/>
      <c r="AB87" s="432"/>
      <c r="AD87" s="526"/>
      <c r="AE87" s="526"/>
      <c r="AF87" s="526"/>
      <c r="AG87" s="526"/>
      <c r="AH87" s="528"/>
      <c r="AJ87" s="430"/>
    </row>
    <row r="88" spans="9:36" x14ac:dyDescent="0.4">
      <c r="I88" s="457"/>
      <c r="J88" s="457"/>
      <c r="K88" s="457"/>
      <c r="L88" s="457"/>
      <c r="M88" s="21"/>
      <c r="Q88" s="429"/>
      <c r="R88" s="429"/>
      <c r="S88" s="429"/>
      <c r="T88" s="429"/>
      <c r="U88" s="429"/>
      <c r="V88" s="429"/>
      <c r="W88" s="429"/>
      <c r="X88" s="430"/>
      <c r="Y88" s="155"/>
      <c r="Z88" s="435"/>
      <c r="AA88" s="224"/>
      <c r="AB88" s="432"/>
      <c r="AD88" s="526"/>
      <c r="AE88" s="526"/>
      <c r="AF88" s="526"/>
      <c r="AG88" s="526"/>
      <c r="AH88" s="528"/>
      <c r="AJ88" s="430"/>
    </row>
    <row r="89" spans="9:36" ht="13.5" thickBot="1" x14ac:dyDescent="0.45">
      <c r="I89" s="457"/>
      <c r="J89" s="457"/>
      <c r="K89" s="457"/>
      <c r="L89" s="457"/>
      <c r="M89" s="21"/>
      <c r="Q89" s="429"/>
      <c r="R89" s="429"/>
      <c r="S89" s="429"/>
      <c r="T89" s="429"/>
      <c r="U89" s="429"/>
      <c r="V89" s="429"/>
      <c r="W89" s="429"/>
      <c r="X89" s="430"/>
      <c r="Y89" s="155"/>
      <c r="Z89" s="435"/>
      <c r="AA89" s="224"/>
      <c r="AB89" s="432"/>
      <c r="AD89" s="538"/>
      <c r="AE89" s="538"/>
      <c r="AF89" s="538"/>
      <c r="AG89" s="538"/>
      <c r="AH89" s="539" t="s">
        <v>272</v>
      </c>
      <c r="AJ89" s="430"/>
    </row>
    <row r="90" spans="9:36" ht="13.5" thickBot="1" x14ac:dyDescent="0.45">
      <c r="I90" s="524">
        <f>M90/J91</f>
        <v>1E-4</v>
      </c>
      <c r="J90" s="459"/>
      <c r="K90" s="460"/>
      <c r="L90" s="461"/>
      <c r="M90" s="488">
        <v>1E-4</v>
      </c>
      <c r="N90" s="489">
        <f>S11</f>
        <v>0</v>
      </c>
      <c r="O90" s="137"/>
      <c r="P90" s="137"/>
      <c r="Q90" s="445"/>
      <c r="R90" s="445"/>
      <c r="S90" s="429"/>
      <c r="T90" s="429"/>
      <c r="U90" s="429"/>
      <c r="V90" s="429"/>
      <c r="W90" s="429"/>
      <c r="X90" s="430"/>
      <c r="Y90" s="155"/>
      <c r="Z90" s="435"/>
      <c r="AA90" s="224"/>
      <c r="AB90" s="432"/>
      <c r="AC90">
        <v>1</v>
      </c>
      <c r="AD90" s="538" t="str">
        <f>[4]Lithuania!C3</f>
        <v>RBMK</v>
      </c>
      <c r="AE90" s="538">
        <f>[4]Lithuania!D3</f>
        <v>1185</v>
      </c>
      <c r="AF90" s="538"/>
      <c r="AG90" s="538"/>
      <c r="AH90" s="540"/>
      <c r="AJ90" s="430"/>
    </row>
    <row r="91" spans="9:36" ht="13.5" thickBot="1" x14ac:dyDescent="0.45">
      <c r="I91" s="457"/>
      <c r="J91" s="464">
        <v>1</v>
      </c>
      <c r="K91" s="465"/>
      <c r="L91" s="466"/>
      <c r="M91" s="21"/>
      <c r="Q91" s="429"/>
      <c r="R91" s="429"/>
      <c r="S91" s="429"/>
      <c r="T91" s="429"/>
      <c r="U91" s="445"/>
      <c r="V91" s="445"/>
      <c r="W91" s="445"/>
      <c r="X91" s="446"/>
      <c r="Y91" s="199"/>
      <c r="Z91" s="447"/>
      <c r="AA91" s="436"/>
      <c r="AB91" s="437">
        <v>225</v>
      </c>
      <c r="AC91" s="137"/>
      <c r="AD91" s="509">
        <f>AH91/AC92</f>
        <v>20.415179999999999</v>
      </c>
      <c r="AE91" s="541"/>
      <c r="AF91" s="343"/>
      <c r="AG91" s="342"/>
      <c r="AH91" s="542">
        <f>AE90*AG92*8.76/1000</f>
        <v>6.1245539999999998</v>
      </c>
      <c r="AI91" s="533">
        <f>AH91</f>
        <v>6.1245539999999998</v>
      </c>
      <c r="AJ91" s="430"/>
    </row>
    <row r="92" spans="9:36" ht="13.5" thickBot="1" x14ac:dyDescent="0.45">
      <c r="I92" s="457"/>
      <c r="J92" s="457"/>
      <c r="K92" s="457"/>
      <c r="L92" s="457"/>
      <c r="M92" s="21"/>
      <c r="Q92" s="429"/>
      <c r="R92" s="429"/>
      <c r="S92" s="429"/>
      <c r="T92" s="429"/>
      <c r="U92" s="429"/>
      <c r="V92" s="429"/>
      <c r="W92" s="429"/>
      <c r="X92" s="430"/>
      <c r="Y92" s="155"/>
      <c r="Z92" s="435"/>
      <c r="AA92" s="224"/>
      <c r="AB92" s="432"/>
      <c r="AC92" s="510">
        <v>0.3</v>
      </c>
      <c r="AD92" s="538"/>
      <c r="AE92" s="543"/>
      <c r="AF92" s="544"/>
      <c r="AG92" s="346">
        <v>0.59</v>
      </c>
      <c r="AH92" s="540"/>
      <c r="AJ92" s="430"/>
    </row>
    <row r="93" spans="9:36" x14ac:dyDescent="0.4">
      <c r="I93" s="457"/>
      <c r="J93" s="457"/>
      <c r="K93" s="457"/>
      <c r="L93" s="457"/>
      <c r="M93" s="21"/>
      <c r="N93" s="13">
        <f>N90/M90</f>
        <v>0</v>
      </c>
      <c r="Q93" s="429"/>
      <c r="R93" s="429"/>
      <c r="S93" s="429"/>
      <c r="T93" s="429"/>
      <c r="U93" s="429"/>
      <c r="V93" s="429"/>
      <c r="W93" s="429"/>
      <c r="X93" s="430"/>
      <c r="Y93" s="155"/>
      <c r="Z93" s="435"/>
      <c r="AA93" s="224"/>
      <c r="AB93" s="432"/>
      <c r="AD93" s="538"/>
      <c r="AE93" s="538"/>
      <c r="AF93" s="538"/>
      <c r="AG93" s="538"/>
      <c r="AH93" s="540"/>
      <c r="AJ93" s="430"/>
    </row>
    <row r="94" spans="9:36" x14ac:dyDescent="0.4">
      <c r="Q94" s="429"/>
      <c r="R94" s="429"/>
      <c r="S94" s="429"/>
      <c r="T94" s="429"/>
      <c r="U94" s="429"/>
      <c r="V94" s="429"/>
      <c r="W94" s="429"/>
      <c r="X94" s="430"/>
      <c r="Y94" s="155"/>
      <c r="Z94" s="435"/>
      <c r="AA94" s="224"/>
      <c r="AB94" s="432"/>
      <c r="AD94" s="538"/>
      <c r="AE94" s="538"/>
      <c r="AF94" s="538"/>
      <c r="AG94" s="538"/>
      <c r="AH94" s="540"/>
      <c r="AJ94" s="430"/>
    </row>
    <row r="95" spans="9:36" x14ac:dyDescent="0.4">
      <c r="Q95" s="429"/>
      <c r="R95" s="429"/>
      <c r="S95" s="429"/>
      <c r="T95" s="429"/>
      <c r="U95" s="429"/>
      <c r="V95" s="429"/>
      <c r="W95" s="429"/>
      <c r="X95" s="430"/>
      <c r="Y95" s="155"/>
      <c r="Z95" s="435"/>
      <c r="AA95" s="224"/>
      <c r="AB95" s="432"/>
      <c r="AD95" s="545"/>
      <c r="AE95" s="545"/>
      <c r="AF95" s="545"/>
      <c r="AG95" s="545"/>
      <c r="AH95" s="546" t="s">
        <v>273</v>
      </c>
      <c r="AJ95" s="430"/>
    </row>
    <row r="96" spans="9:36" ht="13.5" thickBot="1" x14ac:dyDescent="0.45">
      <c r="Q96" s="429"/>
      <c r="R96" s="429"/>
      <c r="S96" s="429"/>
      <c r="T96" s="429"/>
      <c r="U96" s="429"/>
      <c r="V96" s="429"/>
      <c r="W96" s="429"/>
      <c r="X96" s="430"/>
      <c r="Y96" s="155"/>
      <c r="Z96" s="435"/>
      <c r="AA96" s="224"/>
      <c r="AB96" s="432"/>
      <c r="AC96">
        <v>2</v>
      </c>
      <c r="AD96" s="545" t="str">
        <f>[4]Romania!C3</f>
        <v>Candu 6</v>
      </c>
      <c r="AE96" s="545">
        <f>[4]Romania!D6</f>
        <v>1310</v>
      </c>
      <c r="AF96" s="545"/>
      <c r="AG96" s="545"/>
      <c r="AH96" s="547"/>
      <c r="AJ96" s="430"/>
    </row>
    <row r="97" spans="17:36" ht="13.5" thickBot="1" x14ac:dyDescent="0.45">
      <c r="Q97" s="429"/>
      <c r="R97" s="429"/>
      <c r="S97" s="429"/>
      <c r="T97" s="429"/>
      <c r="U97" s="429"/>
      <c r="V97" s="445"/>
      <c r="W97" s="445"/>
      <c r="X97" s="446"/>
      <c r="Y97" s="199"/>
      <c r="Z97" s="447"/>
      <c r="AA97" s="436"/>
      <c r="AB97" s="437">
        <v>174</v>
      </c>
      <c r="AC97" s="137"/>
      <c r="AD97" s="509">
        <f>AH97/AC98</f>
        <v>32.896720000000002</v>
      </c>
      <c r="AE97" s="548"/>
      <c r="AF97" s="549"/>
      <c r="AG97" s="550"/>
      <c r="AH97" s="551">
        <f>AE96*AG98*8.76/1000</f>
        <v>9.8690160000000002</v>
      </c>
      <c r="AI97" s="533">
        <f>AH97</f>
        <v>9.8690160000000002</v>
      </c>
      <c r="AJ97" s="430"/>
    </row>
    <row r="98" spans="17:36" ht="13.5" thickBot="1" x14ac:dyDescent="0.45">
      <c r="Q98" s="429"/>
      <c r="R98" s="429"/>
      <c r="S98" s="429"/>
      <c r="T98" s="429"/>
      <c r="U98" s="429"/>
      <c r="V98" s="429"/>
      <c r="W98" s="429"/>
      <c r="X98" s="430"/>
      <c r="Y98" s="155"/>
      <c r="Z98" s="435"/>
      <c r="AA98" s="224"/>
      <c r="AB98" s="432"/>
      <c r="AC98" s="510">
        <v>0.3</v>
      </c>
      <c r="AD98" s="545"/>
      <c r="AE98" s="552"/>
      <c r="AF98" s="553"/>
      <c r="AG98" s="554">
        <v>0.86</v>
      </c>
      <c r="AH98" s="547"/>
      <c r="AJ98" s="430"/>
    </row>
    <row r="99" spans="17:36" x14ac:dyDescent="0.4">
      <c r="Q99" s="429"/>
      <c r="R99" s="429"/>
      <c r="S99" s="429"/>
      <c r="T99" s="429"/>
      <c r="U99" s="429"/>
      <c r="V99" s="429"/>
      <c r="W99" s="429"/>
      <c r="X99" s="430"/>
      <c r="Y99" s="155"/>
      <c r="Z99" s="435"/>
      <c r="AA99" s="224"/>
      <c r="AB99" s="432"/>
      <c r="AD99" s="545"/>
      <c r="AE99" s="545"/>
      <c r="AF99" s="545"/>
      <c r="AG99" s="545"/>
      <c r="AH99" s="547"/>
      <c r="AJ99" s="430"/>
    </row>
    <row r="100" spans="17:36" x14ac:dyDescent="0.4">
      <c r="Q100" s="429"/>
      <c r="R100" s="429"/>
      <c r="S100" s="429"/>
      <c r="T100" s="429"/>
      <c r="U100" s="429"/>
      <c r="V100" s="429"/>
      <c r="W100" s="429"/>
      <c r="X100" s="430"/>
      <c r="Y100" s="155"/>
      <c r="Z100" s="435"/>
      <c r="AA100" s="224"/>
      <c r="AB100" s="432"/>
      <c r="AD100" s="545"/>
      <c r="AE100" s="545"/>
      <c r="AF100" s="545"/>
      <c r="AG100" s="545"/>
      <c r="AH100" s="547"/>
      <c r="AJ100" s="430"/>
    </row>
    <row r="101" spans="17:36" x14ac:dyDescent="0.4">
      <c r="Q101" s="429"/>
      <c r="R101" s="429"/>
      <c r="S101" s="430"/>
      <c r="T101" s="429"/>
      <c r="U101" s="429"/>
      <c r="V101" s="429"/>
      <c r="W101" s="429"/>
      <c r="X101" s="430"/>
      <c r="Y101" s="155"/>
      <c r="Z101" s="435"/>
      <c r="AA101" s="224"/>
      <c r="AB101" s="432"/>
      <c r="AD101" s="10"/>
      <c r="AE101" s="10"/>
      <c r="AF101" s="10"/>
      <c r="AG101" s="10"/>
      <c r="AH101" s="458" t="s">
        <v>274</v>
      </c>
      <c r="AJ101" s="430"/>
    </row>
    <row r="102" spans="17:36" ht="13.5" thickBot="1" x14ac:dyDescent="0.45">
      <c r="Q102" s="429"/>
      <c r="R102" s="429"/>
      <c r="S102" s="430"/>
      <c r="T102" s="429"/>
      <c r="U102" s="429"/>
      <c r="V102" s="429"/>
      <c r="W102" s="429"/>
      <c r="X102" s="430"/>
      <c r="Y102" s="155"/>
      <c r="Z102" s="435"/>
      <c r="AA102" s="224"/>
      <c r="AB102" s="432"/>
      <c r="AC102">
        <f>[4]Slovakia!B11</f>
        <v>1</v>
      </c>
      <c r="AD102" s="10" t="str">
        <f>[4]Slovakia!C11</f>
        <v>V-230</v>
      </c>
      <c r="AE102" s="10">
        <f>[4]Slovakia!D11</f>
        <v>408</v>
      </c>
      <c r="AF102" s="10"/>
      <c r="AG102" s="10"/>
      <c r="AH102" s="389"/>
      <c r="AJ102" s="430"/>
    </row>
    <row r="103" spans="17:36" ht="13.5" thickBot="1" x14ac:dyDescent="0.45">
      <c r="Q103" s="429"/>
      <c r="R103" s="429"/>
      <c r="S103" s="430"/>
      <c r="T103" s="429"/>
      <c r="U103" s="429"/>
      <c r="V103" s="429"/>
      <c r="W103" s="429"/>
      <c r="X103" s="430"/>
      <c r="Y103" s="199"/>
      <c r="Z103" s="447"/>
      <c r="AA103" s="436"/>
      <c r="AB103" s="437">
        <v>313</v>
      </c>
      <c r="AC103" s="137"/>
      <c r="AD103" s="467">
        <f>AH103/AC104</f>
        <v>8.4586559999999995</v>
      </c>
      <c r="AE103" s="468"/>
      <c r="AF103" s="375"/>
      <c r="AG103" s="376"/>
      <c r="AH103" s="469">
        <f>AE102*AG104*8.76/1000</f>
        <v>2.5375967999999998</v>
      </c>
      <c r="AJ103" s="430"/>
    </row>
    <row r="104" spans="17:36" ht="13.5" thickBot="1" x14ac:dyDescent="0.45">
      <c r="Q104" s="429"/>
      <c r="R104" s="429"/>
      <c r="S104" s="430"/>
      <c r="T104" s="429"/>
      <c r="U104" s="429"/>
      <c r="V104" s="429"/>
      <c r="W104" s="429"/>
      <c r="X104" s="430"/>
      <c r="Y104" s="155"/>
      <c r="Z104" s="435"/>
      <c r="AA104" s="224"/>
      <c r="AB104" s="432"/>
      <c r="AC104" s="470">
        <v>0.3</v>
      </c>
      <c r="AD104" s="10"/>
      <c r="AE104" s="384"/>
      <c r="AF104" s="250"/>
      <c r="AG104" s="471">
        <v>0.71</v>
      </c>
      <c r="AH104" s="389"/>
      <c r="AI104" s="449"/>
      <c r="AJ104" s="430"/>
    </row>
    <row r="105" spans="17:36" ht="13.5" thickBot="1" x14ac:dyDescent="0.45">
      <c r="Q105" s="429"/>
      <c r="R105" s="429"/>
      <c r="S105" s="430"/>
      <c r="T105" s="429"/>
      <c r="U105" s="429"/>
      <c r="V105" s="429"/>
      <c r="W105" s="429"/>
      <c r="X105" s="430"/>
      <c r="Y105" s="155"/>
      <c r="Z105" s="435"/>
      <c r="AA105" s="224"/>
      <c r="AB105" s="432"/>
      <c r="AD105" s="10"/>
      <c r="AE105" s="10"/>
      <c r="AF105" s="10"/>
      <c r="AG105" s="10"/>
      <c r="AH105" s="389"/>
      <c r="AI105" s="472">
        <f>AH103+AH107</f>
        <v>13.272451199999999</v>
      </c>
      <c r="AJ105" s="430"/>
    </row>
    <row r="106" spans="17:36" ht="13.5" thickBot="1" x14ac:dyDescent="0.45">
      <c r="Q106" s="429"/>
      <c r="R106" s="429"/>
      <c r="S106" s="430"/>
      <c r="T106" s="429"/>
      <c r="U106" s="429"/>
      <c r="V106" s="429"/>
      <c r="W106" s="429"/>
      <c r="X106" s="430"/>
      <c r="Y106" s="155"/>
      <c r="Z106" s="435"/>
      <c r="AA106" s="224"/>
      <c r="AB106" s="432"/>
      <c r="AC106" s="13">
        <f>[4]Slovakia!B14</f>
        <v>4</v>
      </c>
      <c r="AD106" s="20" t="str">
        <f>[4]Slovakia!C14</f>
        <v>V-213</v>
      </c>
      <c r="AE106" s="20">
        <f>[4]Slovakia!D14</f>
        <v>1656</v>
      </c>
      <c r="AF106" s="10"/>
      <c r="AG106" s="10"/>
      <c r="AH106" s="389"/>
      <c r="AI106" s="449"/>
      <c r="AJ106" s="430"/>
    </row>
    <row r="107" spans="17:36" ht="13.5" thickBot="1" x14ac:dyDescent="0.45">
      <c r="Q107" s="429"/>
      <c r="R107" s="429"/>
      <c r="S107" s="430"/>
      <c r="T107" s="429"/>
      <c r="U107" s="429"/>
      <c r="V107" s="429"/>
      <c r="W107" s="429"/>
      <c r="X107" s="430"/>
      <c r="Y107" s="199"/>
      <c r="Z107" s="447"/>
      <c r="AA107" s="436"/>
      <c r="AB107" s="453"/>
      <c r="AC107" s="137"/>
      <c r="AD107" s="467">
        <f>AH107/AC108</f>
        <v>35.782848000000001</v>
      </c>
      <c r="AE107" s="468"/>
      <c r="AF107" s="375"/>
      <c r="AG107" s="376"/>
      <c r="AH107" s="469">
        <f>AE106*AG108*8.76/1000</f>
        <v>10.7348544</v>
      </c>
      <c r="AI107" s="449"/>
      <c r="AJ107" s="430"/>
    </row>
    <row r="108" spans="17:36" ht="13.5" thickBot="1" x14ac:dyDescent="0.45">
      <c r="Q108" s="429"/>
      <c r="R108" s="429"/>
      <c r="S108" s="430"/>
      <c r="T108" s="429"/>
      <c r="U108" s="429"/>
      <c r="V108" s="429"/>
      <c r="W108" s="429"/>
      <c r="X108" s="430"/>
      <c r="Y108" s="155"/>
      <c r="Z108" s="435"/>
      <c r="AA108" s="224"/>
      <c r="AB108" s="432"/>
      <c r="AC108" s="470">
        <v>0.3</v>
      </c>
      <c r="AD108" s="10"/>
      <c r="AE108" s="384"/>
      <c r="AF108" s="250"/>
      <c r="AG108" s="471">
        <v>0.74</v>
      </c>
      <c r="AH108" s="389"/>
      <c r="AJ108" s="430"/>
    </row>
    <row r="109" spans="17:36" x14ac:dyDescent="0.4">
      <c r="Q109" s="429"/>
      <c r="R109" s="429"/>
      <c r="S109" s="430"/>
      <c r="T109" s="429"/>
      <c r="U109" s="429"/>
      <c r="V109" s="429"/>
      <c r="W109" s="429"/>
      <c r="X109" s="430"/>
      <c r="Y109" s="155"/>
      <c r="Z109" s="435"/>
      <c r="AA109" s="224"/>
      <c r="AB109" s="432"/>
      <c r="AD109" s="10"/>
      <c r="AE109" s="10"/>
      <c r="AF109" s="10"/>
      <c r="AG109" s="10"/>
      <c r="AH109" s="389"/>
      <c r="AJ109" s="430"/>
    </row>
    <row r="110" spans="17:36" x14ac:dyDescent="0.4">
      <c r="Q110" s="429"/>
      <c r="R110" s="429"/>
      <c r="S110" s="430"/>
      <c r="T110" s="429"/>
      <c r="U110" s="429"/>
      <c r="V110" s="429"/>
      <c r="W110" s="429"/>
      <c r="X110" s="430"/>
      <c r="Y110" s="155"/>
      <c r="Z110" s="435"/>
      <c r="AA110" s="224"/>
      <c r="AB110" s="432"/>
      <c r="AD110" s="10"/>
      <c r="AE110" s="10"/>
      <c r="AF110" s="10"/>
      <c r="AG110" s="10"/>
      <c r="AH110" s="389"/>
      <c r="AJ110" s="430"/>
    </row>
    <row r="111" spans="17:36" x14ac:dyDescent="0.4">
      <c r="Q111" s="429"/>
      <c r="R111" s="429"/>
      <c r="S111" s="430"/>
      <c r="T111" s="429"/>
      <c r="U111" s="429"/>
      <c r="V111" s="429"/>
      <c r="W111" s="429"/>
      <c r="X111" s="430"/>
      <c r="Y111" s="155"/>
      <c r="Z111" s="435"/>
      <c r="AA111" s="224"/>
      <c r="AB111" s="432"/>
      <c r="AD111" s="495"/>
      <c r="AE111" s="495"/>
      <c r="AF111" s="495"/>
      <c r="AG111" s="495"/>
      <c r="AH111" s="555" t="s">
        <v>275</v>
      </c>
      <c r="AJ111" s="430"/>
    </row>
    <row r="112" spans="17:36" ht="13.5" thickBot="1" x14ac:dyDescent="0.45">
      <c r="Q112" s="429"/>
      <c r="R112" s="429"/>
      <c r="S112" s="430"/>
      <c r="T112" s="429"/>
      <c r="U112" s="429"/>
      <c r="V112" s="429"/>
      <c r="W112" s="429"/>
      <c r="X112" s="430"/>
      <c r="Y112" s="155"/>
      <c r="Z112" s="435"/>
      <c r="AA112" s="224"/>
      <c r="AB112" s="432"/>
      <c r="AC112">
        <v>1</v>
      </c>
      <c r="AD112" s="495" t="str">
        <f>[4]Slovenia!C6</f>
        <v>Krsko</v>
      </c>
      <c r="AE112" s="495">
        <f>[4]Slovenia!D6</f>
        <v>690</v>
      </c>
      <c r="AF112" s="495"/>
      <c r="AG112" s="495"/>
      <c r="AH112" s="556"/>
      <c r="AJ112" s="430"/>
    </row>
    <row r="113" spans="17:36" ht="13.5" thickBot="1" x14ac:dyDescent="0.45">
      <c r="Q113" s="429"/>
      <c r="R113" s="429"/>
      <c r="S113" s="430"/>
      <c r="T113" s="429"/>
      <c r="U113" s="429"/>
      <c r="V113" s="429"/>
      <c r="W113" s="429"/>
      <c r="X113" s="430"/>
      <c r="Y113" s="199"/>
      <c r="Z113" s="447"/>
      <c r="AA113" s="436"/>
      <c r="AB113" s="437">
        <v>141</v>
      </c>
      <c r="AC113" s="137"/>
      <c r="AD113" s="467">
        <f>AH113/AC114</f>
        <v>16.118400000000001</v>
      </c>
      <c r="AE113" s="497"/>
      <c r="AF113" s="498"/>
      <c r="AG113" s="499"/>
      <c r="AH113" s="557">
        <f>AE112*AG114*8.76/1000</f>
        <v>4.8355199999999998</v>
      </c>
      <c r="AI113" s="533">
        <f>AH113</f>
        <v>4.8355199999999998</v>
      </c>
      <c r="AJ113" s="430"/>
    </row>
    <row r="114" spans="17:36" ht="13.5" thickBot="1" x14ac:dyDescent="0.45">
      <c r="Q114" s="429"/>
      <c r="R114" s="429"/>
      <c r="S114" s="430"/>
      <c r="T114" s="429"/>
      <c r="U114" s="429"/>
      <c r="V114" s="429"/>
      <c r="W114" s="429"/>
      <c r="X114" s="430"/>
      <c r="Y114" s="155"/>
      <c r="Z114" s="435"/>
      <c r="AA114" s="224"/>
      <c r="AB114" s="432"/>
      <c r="AC114" s="470">
        <v>0.3</v>
      </c>
      <c r="AD114" s="495"/>
      <c r="AE114" s="501"/>
      <c r="AF114" s="502"/>
      <c r="AG114" s="503">
        <v>0.8</v>
      </c>
      <c r="AH114" s="556"/>
      <c r="AJ114" s="430"/>
    </row>
    <row r="115" spans="17:36" x14ac:dyDescent="0.4">
      <c r="Q115" s="429"/>
      <c r="R115" s="429"/>
      <c r="S115" s="430"/>
      <c r="T115" s="429"/>
      <c r="U115" s="429"/>
      <c r="V115" s="429"/>
      <c r="W115" s="429"/>
      <c r="X115" s="430"/>
      <c r="Y115" s="155"/>
      <c r="Z115" s="435"/>
      <c r="AA115" s="224"/>
      <c r="AB115" s="432"/>
      <c r="AD115" s="495"/>
      <c r="AE115" s="495"/>
      <c r="AF115" s="495"/>
      <c r="AG115" s="495"/>
      <c r="AH115" s="556"/>
      <c r="AJ115" s="430"/>
    </row>
    <row r="116" spans="17:36" x14ac:dyDescent="0.4">
      <c r="Q116" s="429"/>
      <c r="R116" s="429"/>
      <c r="S116" s="430"/>
      <c r="T116" s="429"/>
      <c r="U116" s="429"/>
      <c r="V116" s="429"/>
      <c r="W116" s="429"/>
      <c r="X116" s="430"/>
      <c r="Y116" s="155"/>
      <c r="Z116" s="435"/>
      <c r="AA116" s="224"/>
      <c r="AB116" s="432"/>
      <c r="AD116" s="495"/>
      <c r="AE116" s="495"/>
      <c r="AF116" s="495"/>
      <c r="AG116" s="495"/>
      <c r="AH116" s="556"/>
      <c r="AJ116" s="430"/>
    </row>
    <row r="117" spans="17:36" x14ac:dyDescent="0.4">
      <c r="Q117" s="429"/>
      <c r="R117" s="429"/>
      <c r="S117" s="430"/>
      <c r="T117" s="429"/>
      <c r="U117" s="429"/>
      <c r="V117" s="429"/>
      <c r="W117" s="429"/>
      <c r="X117" s="430"/>
      <c r="Y117" s="155"/>
      <c r="Z117" s="435"/>
      <c r="AA117" s="224"/>
      <c r="AB117" s="432"/>
      <c r="AD117" s="239"/>
      <c r="AE117" s="239"/>
      <c r="AF117" s="239"/>
      <c r="AG117" s="239"/>
      <c r="AH117" s="558" t="s">
        <v>276</v>
      </c>
      <c r="AJ117" s="430"/>
    </row>
    <row r="118" spans="17:36" ht="13.5" thickBot="1" x14ac:dyDescent="0.45">
      <c r="Q118" s="429"/>
      <c r="R118" s="429"/>
      <c r="S118" s="430"/>
      <c r="T118" s="429"/>
      <c r="U118" s="429"/>
      <c r="V118" s="429"/>
      <c r="W118" s="429"/>
      <c r="X118" s="430"/>
      <c r="Y118" s="155"/>
      <c r="Z118" s="435"/>
      <c r="AA118" s="224"/>
      <c r="AB118" s="432"/>
      <c r="AC118">
        <f>[4]Spain!B13</f>
        <v>6</v>
      </c>
      <c r="AD118" s="239" t="str">
        <f>[4]Spain!C13</f>
        <v>PWR</v>
      </c>
      <c r="AE118" s="239">
        <f>[4]Spain!D13</f>
        <v>5933</v>
      </c>
      <c r="AF118" s="239"/>
      <c r="AG118" s="239"/>
      <c r="AH118" s="559"/>
      <c r="AJ118" s="430"/>
    </row>
    <row r="119" spans="17:36" ht="13.5" thickBot="1" x14ac:dyDescent="0.45">
      <c r="Q119" s="429"/>
      <c r="R119" s="429"/>
      <c r="S119" s="430"/>
      <c r="T119" s="429"/>
      <c r="U119" s="429"/>
      <c r="V119" s="429"/>
      <c r="W119" s="429"/>
      <c r="X119" s="430"/>
      <c r="Y119" s="155"/>
      <c r="Z119" s="435"/>
      <c r="AA119" s="436"/>
      <c r="AB119" s="437">
        <v>1398</v>
      </c>
      <c r="AC119" s="137"/>
      <c r="AD119" s="438">
        <v>114</v>
      </c>
      <c r="AE119" s="560"/>
      <c r="AF119" s="561"/>
      <c r="AG119" s="562"/>
      <c r="AH119" s="563">
        <f>AE118*AG120*8.76/1000</f>
        <v>44.177118</v>
      </c>
      <c r="AJ119" s="430"/>
    </row>
    <row r="120" spans="17:36" ht="13.5" thickBot="1" x14ac:dyDescent="0.45">
      <c r="Q120" s="429"/>
      <c r="R120" s="429"/>
      <c r="S120" s="430"/>
      <c r="T120" s="429"/>
      <c r="U120" s="429"/>
      <c r="V120" s="429"/>
      <c r="W120" s="429"/>
      <c r="X120" s="430"/>
      <c r="Y120" s="155"/>
      <c r="Z120" s="435"/>
      <c r="AA120" s="224"/>
      <c r="AB120" s="432"/>
      <c r="AC120">
        <f>AH119/AD119</f>
        <v>0.38751857894736841</v>
      </c>
      <c r="AD120" s="239"/>
      <c r="AE120" s="564"/>
      <c r="AF120" s="565"/>
      <c r="AG120" s="566">
        <v>0.85</v>
      </c>
      <c r="AH120" s="559"/>
      <c r="AJ120" s="430"/>
    </row>
    <row r="121" spans="17:36" ht="13.5" thickBot="1" x14ac:dyDescent="0.45">
      <c r="Q121" s="429"/>
      <c r="R121" s="429"/>
      <c r="S121" s="430"/>
      <c r="T121" s="429"/>
      <c r="U121" s="429"/>
      <c r="V121" s="429"/>
      <c r="W121" s="429"/>
      <c r="X121" s="430"/>
      <c r="Y121" s="155"/>
      <c r="Z121" s="435"/>
      <c r="AA121" s="224"/>
      <c r="AB121" s="432"/>
      <c r="AD121" s="239"/>
      <c r="AE121" s="239"/>
      <c r="AF121" s="239"/>
      <c r="AG121" s="239"/>
      <c r="AH121" s="559"/>
      <c r="AI121" s="472">
        <f>AH119+AH123</f>
        <v>54.752189999999999</v>
      </c>
      <c r="AJ121" s="430"/>
    </row>
    <row r="122" spans="17:36" ht="13.5" thickBot="1" x14ac:dyDescent="0.45">
      <c r="Q122" s="429"/>
      <c r="R122" s="429"/>
      <c r="S122" s="430"/>
      <c r="T122" s="429"/>
      <c r="U122" s="429"/>
      <c r="V122" s="429"/>
      <c r="W122" s="429"/>
      <c r="X122" s="430"/>
      <c r="Y122" s="155"/>
      <c r="Z122" s="435"/>
      <c r="AA122" s="224"/>
      <c r="AB122" s="432"/>
      <c r="AC122">
        <f>[4]Spain!B17</f>
        <v>2</v>
      </c>
      <c r="AD122" s="239" t="str">
        <f>[4]Spain!C17</f>
        <v>BWR</v>
      </c>
      <c r="AE122" s="239">
        <f>[4]Spain!D17</f>
        <v>1509</v>
      </c>
      <c r="AF122" s="239"/>
      <c r="AG122" s="239"/>
      <c r="AH122" s="559"/>
      <c r="AJ122" s="430"/>
    </row>
    <row r="123" spans="17:36" ht="13.5" thickBot="1" x14ac:dyDescent="0.45">
      <c r="Q123" s="429"/>
      <c r="R123" s="429"/>
      <c r="S123" s="430"/>
      <c r="T123" s="429"/>
      <c r="U123" s="429"/>
      <c r="V123" s="429"/>
      <c r="W123" s="429"/>
      <c r="X123" s="430"/>
      <c r="Y123" s="155"/>
      <c r="Z123" s="447"/>
      <c r="AA123" s="436"/>
      <c r="AB123" s="453"/>
      <c r="AC123" s="137"/>
      <c r="AD123" s="467">
        <f>AH123/AC124</f>
        <v>30.214491428571431</v>
      </c>
      <c r="AE123" s="560"/>
      <c r="AF123" s="561"/>
      <c r="AG123" s="562"/>
      <c r="AH123" s="563">
        <f>AE122*AG124*8.76/1000</f>
        <v>10.575072</v>
      </c>
      <c r="AJ123" s="430"/>
    </row>
    <row r="124" spans="17:36" ht="13.5" thickBot="1" x14ac:dyDescent="0.45">
      <c r="Q124" s="429"/>
      <c r="R124" s="429"/>
      <c r="S124" s="430"/>
      <c r="T124" s="429"/>
      <c r="U124" s="429"/>
      <c r="V124" s="429"/>
      <c r="W124" s="429"/>
      <c r="X124" s="430"/>
      <c r="Y124" s="155"/>
      <c r="Z124" s="435"/>
      <c r="AA124" s="224"/>
      <c r="AB124" s="432"/>
      <c r="AC124" s="470">
        <v>0.35</v>
      </c>
      <c r="AD124" s="239"/>
      <c r="AE124" s="564"/>
      <c r="AF124" s="565"/>
      <c r="AG124" s="566">
        <v>0.8</v>
      </c>
      <c r="AH124" s="559"/>
      <c r="AJ124" s="430"/>
    </row>
    <row r="125" spans="17:36" x14ac:dyDescent="0.4">
      <c r="Q125" s="429"/>
      <c r="R125" s="429"/>
      <c r="S125" s="430"/>
      <c r="T125" s="429"/>
      <c r="U125" s="429"/>
      <c r="V125" s="429"/>
      <c r="W125" s="429"/>
      <c r="X125" s="430"/>
      <c r="Y125" s="155"/>
      <c r="Z125" s="435"/>
      <c r="AA125" s="224"/>
      <c r="AB125" s="432"/>
      <c r="AD125" s="239"/>
      <c r="AE125" s="239"/>
      <c r="AF125" s="239"/>
      <c r="AG125" s="239"/>
      <c r="AH125" s="559"/>
      <c r="AJ125" s="430"/>
    </row>
    <row r="126" spans="17:36" x14ac:dyDescent="0.4">
      <c r="Q126" s="429"/>
      <c r="R126" s="429"/>
      <c r="S126" s="430"/>
      <c r="T126" s="429"/>
      <c r="U126" s="429"/>
      <c r="V126" s="429"/>
      <c r="W126" s="429"/>
      <c r="X126" s="430"/>
      <c r="Y126" s="155"/>
      <c r="Z126" s="435"/>
      <c r="AA126" s="224"/>
      <c r="AB126" s="432"/>
      <c r="AD126" s="239"/>
      <c r="AE126" s="239"/>
      <c r="AF126" s="239"/>
      <c r="AG126" s="239"/>
      <c r="AH126" s="559"/>
      <c r="AJ126" s="430"/>
    </row>
    <row r="127" spans="17:36" x14ac:dyDescent="0.4">
      <c r="Q127" s="429"/>
      <c r="R127" s="429"/>
      <c r="S127" s="430"/>
      <c r="T127" s="429"/>
      <c r="U127" s="429"/>
      <c r="V127" s="429"/>
      <c r="W127" s="429"/>
      <c r="X127" s="430"/>
      <c r="Y127" s="155"/>
      <c r="Z127" s="435"/>
      <c r="AA127" s="224"/>
      <c r="AB127" s="432"/>
      <c r="AD127" s="495"/>
      <c r="AE127" s="495"/>
      <c r="AF127" s="495"/>
      <c r="AG127" s="495"/>
      <c r="AH127" s="555" t="s">
        <v>277</v>
      </c>
      <c r="AJ127" s="430"/>
    </row>
    <row r="128" spans="17:36" ht="13.5" thickBot="1" x14ac:dyDescent="0.45">
      <c r="Q128" s="429"/>
      <c r="R128" s="429"/>
      <c r="S128" s="430"/>
      <c r="T128" s="429"/>
      <c r="U128" s="429"/>
      <c r="V128" s="429"/>
      <c r="W128" s="429"/>
      <c r="X128" s="430"/>
      <c r="Y128" s="155"/>
      <c r="Z128" s="435"/>
      <c r="AA128" s="224"/>
      <c r="AB128" s="432"/>
      <c r="AC128">
        <f>[4]Sweden!C17</f>
        <v>3</v>
      </c>
      <c r="AD128" s="495" t="str">
        <f>[4]Sweden!D17</f>
        <v>PWR</v>
      </c>
      <c r="AE128" s="495">
        <f>[4]Sweden!E17</f>
        <v>2786</v>
      </c>
      <c r="AF128" s="495"/>
      <c r="AG128" s="495"/>
      <c r="AH128" s="556"/>
      <c r="AJ128" s="430"/>
    </row>
    <row r="129" spans="17:37" ht="13.5" thickBot="1" x14ac:dyDescent="0.45">
      <c r="Q129" s="429"/>
      <c r="R129" s="429"/>
      <c r="S129" s="430"/>
      <c r="T129" s="429"/>
      <c r="U129" s="429"/>
      <c r="V129" s="429"/>
      <c r="W129" s="429"/>
      <c r="X129" s="430"/>
      <c r="Y129" s="155"/>
      <c r="Z129" s="435"/>
      <c r="AA129" s="436"/>
      <c r="AB129" s="437">
        <v>1418</v>
      </c>
      <c r="AC129" s="137"/>
      <c r="AD129" s="438">
        <v>58</v>
      </c>
      <c r="AE129" s="497"/>
      <c r="AF129" s="498"/>
      <c r="AG129" s="499"/>
      <c r="AH129" s="500">
        <f>AE128*AG130*8.76/1000</f>
        <v>17.083751999999997</v>
      </c>
      <c r="AJ129" s="430"/>
    </row>
    <row r="130" spans="17:37" ht="15.4" thickBot="1" x14ac:dyDescent="0.45">
      <c r="Q130" s="429"/>
      <c r="R130" s="429"/>
      <c r="S130" s="430"/>
      <c r="T130" s="429"/>
      <c r="U130" s="429"/>
      <c r="V130" s="429"/>
      <c r="W130" s="429"/>
      <c r="X130" s="430"/>
      <c r="Y130" s="155"/>
      <c r="Z130" s="435"/>
      <c r="AA130" s="224"/>
      <c r="AB130" s="432"/>
      <c r="AC130">
        <f>AH129/AD129</f>
        <v>0.29454744827586199</v>
      </c>
      <c r="AD130" s="495"/>
      <c r="AE130" s="501"/>
      <c r="AF130" s="502"/>
      <c r="AG130" s="503">
        <v>0.7</v>
      </c>
      <c r="AH130" s="556"/>
      <c r="AJ130" s="430"/>
      <c r="AK130" s="366"/>
    </row>
    <row r="131" spans="17:37" ht="13.5" thickBot="1" x14ac:dyDescent="0.45">
      <c r="Q131" s="429"/>
      <c r="R131" s="429"/>
      <c r="S131" s="430"/>
      <c r="T131" s="429"/>
      <c r="U131" s="429"/>
      <c r="V131" s="429"/>
      <c r="W131" s="429"/>
      <c r="X131" s="430"/>
      <c r="Y131" s="155"/>
      <c r="Z131" s="435"/>
      <c r="AA131" s="224"/>
      <c r="AB131" s="432"/>
      <c r="AD131" s="495"/>
      <c r="AE131" s="495"/>
      <c r="AF131" s="495"/>
      <c r="AG131" s="495"/>
      <c r="AH131" s="556"/>
      <c r="AI131" s="472">
        <f>AH129+AH133</f>
        <v>61.835087999999992</v>
      </c>
      <c r="AJ131" s="430"/>
    </row>
    <row r="132" spans="17:37" ht="13.5" thickBot="1" x14ac:dyDescent="0.45">
      <c r="Q132" s="429"/>
      <c r="R132" s="429"/>
      <c r="S132" s="430"/>
      <c r="T132" s="429"/>
      <c r="U132" s="429"/>
      <c r="V132" s="429"/>
      <c r="W132" s="429"/>
      <c r="X132" s="430"/>
      <c r="Y132" s="155"/>
      <c r="Z132" s="435"/>
      <c r="AA132" s="224"/>
      <c r="AB132" s="432"/>
      <c r="AC132">
        <f>[4]Sweden!C21</f>
        <v>7</v>
      </c>
      <c r="AD132" s="495" t="str">
        <f>[4]Sweden!D21</f>
        <v>BWR</v>
      </c>
      <c r="AE132" s="495">
        <f>[4]Sweden!E21</f>
        <v>6230</v>
      </c>
      <c r="AF132" s="495"/>
      <c r="AG132" s="495"/>
      <c r="AH132" s="556"/>
      <c r="AJ132" s="430"/>
    </row>
    <row r="133" spans="17:37" ht="13.5" thickBot="1" x14ac:dyDescent="0.45">
      <c r="Q133" s="429"/>
      <c r="R133" s="429"/>
      <c r="S133" s="430"/>
      <c r="T133" s="429"/>
      <c r="U133" s="429"/>
      <c r="V133" s="429"/>
      <c r="W133" s="429"/>
      <c r="X133" s="430"/>
      <c r="Y133" s="155"/>
      <c r="Z133" s="447"/>
      <c r="AA133" s="436"/>
      <c r="AB133" s="453"/>
      <c r="AC133" s="137"/>
      <c r="AD133" s="267">
        <v>162</v>
      </c>
      <c r="AE133" s="497"/>
      <c r="AF133" s="498"/>
      <c r="AG133" s="499"/>
      <c r="AH133" s="500">
        <f>AE132*AG134*8.76/1000</f>
        <v>44.751335999999995</v>
      </c>
      <c r="AJ133" s="430"/>
    </row>
    <row r="134" spans="17:37" ht="13.5" thickBot="1" x14ac:dyDescent="0.45">
      <c r="Q134" s="429"/>
      <c r="R134" s="429"/>
      <c r="S134" s="430"/>
      <c r="T134" s="429"/>
      <c r="U134" s="429"/>
      <c r="V134" s="429"/>
      <c r="W134" s="429"/>
      <c r="X134" s="430"/>
      <c r="Y134" s="155"/>
      <c r="Z134" s="435"/>
      <c r="AA134" s="224"/>
      <c r="AB134" s="432"/>
      <c r="AC134">
        <f>AH133/AD133</f>
        <v>0.27624281481481477</v>
      </c>
      <c r="AD134" s="495"/>
      <c r="AE134" s="501"/>
      <c r="AF134" s="502"/>
      <c r="AG134" s="503">
        <v>0.82</v>
      </c>
      <c r="AH134" s="556"/>
      <c r="AJ134" s="430"/>
    </row>
    <row r="135" spans="17:37" x14ac:dyDescent="0.4">
      <c r="Q135" s="429"/>
      <c r="R135" s="429"/>
      <c r="S135" s="430"/>
      <c r="T135" s="429"/>
      <c r="U135" s="429"/>
      <c r="V135" s="429"/>
      <c r="W135" s="429"/>
      <c r="X135" s="430"/>
      <c r="Y135" s="155"/>
      <c r="Z135" s="435"/>
      <c r="AA135" s="224"/>
      <c r="AB135" s="432"/>
      <c r="AD135" s="495"/>
      <c r="AE135" s="495"/>
      <c r="AF135" s="495"/>
      <c r="AG135" s="495"/>
      <c r="AH135" s="556"/>
      <c r="AJ135" s="430"/>
    </row>
    <row r="136" spans="17:37" x14ac:dyDescent="0.4">
      <c r="Q136" s="429"/>
      <c r="R136" s="429"/>
      <c r="S136" s="430"/>
      <c r="T136" s="429"/>
      <c r="U136" s="429"/>
      <c r="V136" s="429"/>
      <c r="W136" s="429"/>
      <c r="X136" s="430"/>
      <c r="Y136" s="155"/>
      <c r="Z136" s="435"/>
      <c r="AA136" s="224"/>
      <c r="AB136" s="432"/>
      <c r="AD136" s="495"/>
      <c r="AE136" s="495"/>
      <c r="AF136" s="495"/>
      <c r="AG136" s="495"/>
      <c r="AH136" s="556"/>
      <c r="AJ136" s="430"/>
    </row>
    <row r="137" spans="17:37" x14ac:dyDescent="0.4">
      <c r="Q137" s="429"/>
      <c r="R137" s="429"/>
      <c r="S137" s="430"/>
      <c r="T137" s="429"/>
      <c r="U137" s="429"/>
      <c r="V137" s="429"/>
      <c r="W137" s="429"/>
      <c r="X137" s="430"/>
      <c r="Y137" s="155"/>
      <c r="Z137" s="435"/>
      <c r="AA137" s="224"/>
      <c r="AB137" s="432"/>
      <c r="AD137" s="490"/>
      <c r="AE137" s="490"/>
      <c r="AF137" s="490"/>
      <c r="AG137" s="490"/>
      <c r="AH137" s="567" t="s">
        <v>278</v>
      </c>
      <c r="AJ137" s="430"/>
    </row>
    <row r="138" spans="17:37" ht="13.5" thickBot="1" x14ac:dyDescent="0.45">
      <c r="Q138" s="429"/>
      <c r="R138" s="429"/>
      <c r="S138" s="430"/>
      <c r="T138" s="429"/>
      <c r="U138" s="429"/>
      <c r="V138" s="429"/>
      <c r="W138" s="429"/>
      <c r="X138" s="430"/>
      <c r="Y138" s="155"/>
      <c r="Z138" s="435"/>
      <c r="AA138" s="224"/>
      <c r="AB138" s="432"/>
      <c r="AC138">
        <f>[4]Switzerland!C13</f>
        <v>3</v>
      </c>
      <c r="AD138" s="490" t="str">
        <f>[4]Switzerland!D13</f>
        <v>PWR</v>
      </c>
      <c r="AE138" s="490">
        <f>[4]Switzerland!E13</f>
        <v>1700</v>
      </c>
      <c r="AF138" s="490"/>
      <c r="AG138" s="490"/>
      <c r="AH138" s="568"/>
      <c r="AJ138" s="430"/>
    </row>
    <row r="139" spans="17:37" ht="13.5" thickBot="1" x14ac:dyDescent="0.45">
      <c r="Q139" s="429"/>
      <c r="R139" s="429"/>
      <c r="S139" s="430"/>
      <c r="T139" s="429"/>
      <c r="U139" s="429"/>
      <c r="V139" s="429"/>
      <c r="W139" s="429"/>
      <c r="X139" s="430"/>
      <c r="Y139" s="155"/>
      <c r="Z139" s="435"/>
      <c r="AA139" s="436"/>
      <c r="AB139" s="437">
        <v>537</v>
      </c>
      <c r="AC139" s="137"/>
      <c r="AD139" s="438">
        <v>59</v>
      </c>
      <c r="AE139" s="569"/>
      <c r="AF139" s="570"/>
      <c r="AG139" s="571"/>
      <c r="AH139" s="572">
        <f>AE138*AG140*8.76/1000</f>
        <v>12.658199999999999</v>
      </c>
      <c r="AJ139" s="430"/>
    </row>
    <row r="140" spans="17:37" ht="13.5" thickBot="1" x14ac:dyDescent="0.45">
      <c r="Q140" s="429"/>
      <c r="R140" s="429"/>
      <c r="S140" s="430"/>
      <c r="T140" s="429"/>
      <c r="U140" s="429"/>
      <c r="V140" s="429"/>
      <c r="W140" s="429"/>
      <c r="X140" s="430"/>
      <c r="Y140" s="155"/>
      <c r="Z140" s="435"/>
      <c r="AA140" s="224"/>
      <c r="AB140" s="432"/>
      <c r="AC140">
        <f>AI141/AD139</f>
        <v>0.40863172881355925</v>
      </c>
      <c r="AD140" s="490"/>
      <c r="AE140" s="573"/>
      <c r="AF140" s="574"/>
      <c r="AG140" s="575">
        <v>0.85</v>
      </c>
      <c r="AH140" s="568"/>
      <c r="AI140" s="449"/>
      <c r="AJ140" s="430"/>
    </row>
    <row r="141" spans="17:37" ht="13.5" thickBot="1" x14ac:dyDescent="0.45">
      <c r="Q141" s="429"/>
      <c r="R141" s="429"/>
      <c r="S141" s="430"/>
      <c r="T141" s="429"/>
      <c r="U141" s="429"/>
      <c r="V141" s="429"/>
      <c r="W141" s="429"/>
      <c r="X141" s="430"/>
      <c r="Y141" s="155"/>
      <c r="Z141" s="435"/>
      <c r="AA141" s="224"/>
      <c r="AB141" s="432"/>
      <c r="AD141" s="490"/>
      <c r="AE141" s="490"/>
      <c r="AF141" s="490"/>
      <c r="AG141" s="490"/>
      <c r="AH141" s="568"/>
      <c r="AI141" s="472">
        <f>AH139+AH143</f>
        <v>24.109271999999997</v>
      </c>
      <c r="AJ141" s="430"/>
    </row>
    <row r="142" spans="17:37" ht="13.5" thickBot="1" x14ac:dyDescent="0.45">
      <c r="Q142" s="429"/>
      <c r="R142" s="429"/>
      <c r="S142" s="430"/>
      <c r="T142" s="429"/>
      <c r="U142" s="429"/>
      <c r="V142" s="429"/>
      <c r="W142" s="429"/>
      <c r="X142" s="430"/>
      <c r="Y142" s="155"/>
      <c r="Z142" s="435"/>
      <c r="AA142" s="224"/>
      <c r="AB142" s="432"/>
      <c r="AC142">
        <f>[4]Switzerland!C17</f>
        <v>2</v>
      </c>
      <c r="AD142" s="490" t="str">
        <f>[4]Switzerland!D17</f>
        <v>BWR</v>
      </c>
      <c r="AE142" s="490">
        <f>[4]Switzerland!E17</f>
        <v>1520</v>
      </c>
      <c r="AF142" s="490"/>
      <c r="AG142" s="490"/>
      <c r="AH142" s="568"/>
      <c r="AI142" s="449"/>
      <c r="AJ142" s="430"/>
    </row>
    <row r="143" spans="17:37" ht="13.5" thickBot="1" x14ac:dyDescent="0.45">
      <c r="Q143" s="429"/>
      <c r="R143" s="429"/>
      <c r="S143" s="430"/>
      <c r="T143" s="429"/>
      <c r="U143" s="429"/>
      <c r="V143" s="429"/>
      <c r="W143" s="429"/>
      <c r="X143" s="430"/>
      <c r="Y143" s="155"/>
      <c r="Z143" s="447"/>
      <c r="AA143" s="436"/>
      <c r="AB143" s="453"/>
      <c r="AC143" s="137"/>
      <c r="AD143" s="487"/>
      <c r="AE143" s="569"/>
      <c r="AF143" s="570"/>
      <c r="AG143" s="571"/>
      <c r="AH143" s="572">
        <f>AE142*AG144*8.76/1000</f>
        <v>11.451072</v>
      </c>
      <c r="AI143" s="449"/>
      <c r="AJ143" s="430"/>
    </row>
    <row r="144" spans="17:37" ht="13.5" thickBot="1" x14ac:dyDescent="0.45">
      <c r="Q144" s="429"/>
      <c r="R144" s="429"/>
      <c r="S144" s="430"/>
      <c r="T144" s="429"/>
      <c r="U144" s="429"/>
      <c r="V144" s="429"/>
      <c r="W144" s="429"/>
      <c r="X144" s="430"/>
      <c r="Y144" s="155"/>
      <c r="Z144" s="435"/>
      <c r="AA144" s="224"/>
      <c r="AB144" s="432"/>
      <c r="AD144" s="490"/>
      <c r="AE144" s="573"/>
      <c r="AF144" s="574"/>
      <c r="AG144" s="575">
        <v>0.86</v>
      </c>
      <c r="AH144" s="568"/>
      <c r="AJ144" s="430"/>
    </row>
    <row r="145" spans="17:36" x14ac:dyDescent="0.4">
      <c r="Q145" s="429"/>
      <c r="R145" s="429"/>
      <c r="S145" s="430"/>
      <c r="T145" s="429"/>
      <c r="U145" s="429"/>
      <c r="V145" s="429"/>
      <c r="W145" s="429"/>
      <c r="X145" s="430"/>
      <c r="Y145" s="155"/>
      <c r="Z145" s="435"/>
      <c r="AA145" s="224"/>
      <c r="AB145" s="432"/>
      <c r="AD145" s="490"/>
      <c r="AE145" s="490"/>
      <c r="AF145" s="490"/>
      <c r="AG145" s="490"/>
      <c r="AH145" s="568"/>
      <c r="AJ145" s="430"/>
    </row>
    <row r="146" spans="17:36" x14ac:dyDescent="0.4">
      <c r="Q146" s="429"/>
      <c r="R146" s="429"/>
      <c r="S146" s="430"/>
      <c r="T146" s="429"/>
      <c r="U146" s="429"/>
      <c r="V146" s="429"/>
      <c r="W146" s="429"/>
      <c r="X146" s="430"/>
      <c r="Y146" s="155"/>
      <c r="Z146" s="435"/>
      <c r="AA146" s="224"/>
      <c r="AB146" s="432"/>
      <c r="AD146" s="490"/>
      <c r="AE146" s="490"/>
      <c r="AF146" s="490"/>
      <c r="AG146" s="490"/>
      <c r="AH146" s="568"/>
      <c r="AJ146" s="430"/>
    </row>
    <row r="147" spans="17:36" x14ac:dyDescent="0.4">
      <c r="Q147" s="429"/>
      <c r="R147" s="429"/>
      <c r="S147" s="430"/>
      <c r="T147" s="429"/>
      <c r="U147" s="429"/>
      <c r="V147" s="429"/>
      <c r="W147" s="429"/>
      <c r="X147" s="430"/>
      <c r="Y147" s="155"/>
      <c r="Z147" s="435"/>
      <c r="AA147" s="224"/>
      <c r="AB147" s="432"/>
      <c r="AD147" s="523"/>
      <c r="AE147" s="523"/>
      <c r="AF147" s="523"/>
      <c r="AG147" s="523"/>
      <c r="AH147" s="576" t="s">
        <v>279</v>
      </c>
      <c r="AJ147" s="430"/>
    </row>
    <row r="148" spans="17:36" ht="13.5" thickBot="1" x14ac:dyDescent="0.45">
      <c r="Q148" s="429"/>
      <c r="R148" s="429"/>
      <c r="S148" s="430"/>
      <c r="T148" s="429"/>
      <c r="U148" s="429"/>
      <c r="V148" s="429"/>
      <c r="W148" s="429"/>
      <c r="X148" s="430"/>
      <c r="Y148" s="155"/>
      <c r="Z148" s="435"/>
      <c r="AA148" s="224"/>
      <c r="AB148" s="432"/>
      <c r="AC148">
        <v>1</v>
      </c>
      <c r="AD148" s="523" t="str">
        <f>'[4]The Netherlands'!C3</f>
        <v>PWR</v>
      </c>
      <c r="AE148" s="523">
        <f>'[4]The Netherlands'!D3</f>
        <v>485</v>
      </c>
      <c r="AF148" s="523"/>
      <c r="AG148" s="523"/>
      <c r="AH148" s="522"/>
      <c r="AJ148" s="430"/>
    </row>
    <row r="149" spans="17:36" ht="13.5" thickBot="1" x14ac:dyDescent="0.45">
      <c r="Q149" s="429"/>
      <c r="R149" s="429"/>
      <c r="S149" s="430"/>
      <c r="T149" s="429"/>
      <c r="U149" s="429"/>
      <c r="V149" s="429"/>
      <c r="W149" s="429"/>
      <c r="X149" s="430"/>
      <c r="Y149" s="155"/>
      <c r="Z149" s="435"/>
      <c r="AA149" s="436"/>
      <c r="AB149" s="437">
        <v>98</v>
      </c>
      <c r="AC149" s="137"/>
      <c r="AD149" s="577">
        <f>AH149/AC150</f>
        <v>10.887037499999998</v>
      </c>
      <c r="AE149" s="515"/>
      <c r="AF149" s="516"/>
      <c r="AG149" s="517"/>
      <c r="AH149" s="578">
        <f>AE148*AG150*8.76/1000</f>
        <v>3.4838519999999997</v>
      </c>
      <c r="AI149" s="533">
        <f>AH149</f>
        <v>3.4838519999999997</v>
      </c>
      <c r="AJ149" s="430" t="s">
        <v>280</v>
      </c>
    </row>
    <row r="150" spans="17:36" ht="13.5" thickBot="1" x14ac:dyDescent="0.45">
      <c r="Q150" s="429"/>
      <c r="R150" s="429"/>
      <c r="S150" s="430"/>
      <c r="T150" s="429"/>
      <c r="U150" s="429"/>
      <c r="V150" s="429"/>
      <c r="W150" s="429"/>
      <c r="X150" s="430"/>
      <c r="Y150" s="155"/>
      <c r="Z150" s="435"/>
      <c r="AA150" s="224"/>
      <c r="AB150" s="432"/>
      <c r="AC150" s="579">
        <v>0.32</v>
      </c>
      <c r="AD150" s="523"/>
      <c r="AE150" s="519"/>
      <c r="AF150" s="520"/>
      <c r="AG150" s="521">
        <v>0.82</v>
      </c>
      <c r="AH150" s="522"/>
      <c r="AJ150" s="430"/>
    </row>
    <row r="151" spans="17:36" x14ac:dyDescent="0.4">
      <c r="Q151" s="429"/>
      <c r="R151" s="429"/>
      <c r="S151" s="430"/>
      <c r="T151" s="429"/>
      <c r="U151" s="429"/>
      <c r="V151" s="429"/>
      <c r="W151" s="429"/>
      <c r="X151" s="430"/>
      <c r="Y151" s="155"/>
      <c r="Z151" s="435"/>
      <c r="AA151" s="224"/>
      <c r="AB151" s="432"/>
      <c r="AD151" s="523"/>
      <c r="AE151" s="523"/>
      <c r="AF151" s="523"/>
      <c r="AG151" s="523"/>
      <c r="AH151" s="522"/>
      <c r="AJ151" s="430"/>
    </row>
    <row r="152" spans="17:36" x14ac:dyDescent="0.4">
      <c r="Q152" s="429"/>
      <c r="R152" s="429"/>
      <c r="S152" s="430"/>
      <c r="T152" s="429"/>
      <c r="U152" s="429"/>
      <c r="V152" s="429"/>
      <c r="W152" s="429"/>
      <c r="X152" s="430"/>
      <c r="Y152" s="155"/>
      <c r="Z152" s="435"/>
      <c r="AA152" s="224"/>
      <c r="AB152" s="432"/>
      <c r="AD152" s="523"/>
      <c r="AE152" s="523"/>
      <c r="AF152" s="523"/>
      <c r="AG152" s="523"/>
      <c r="AH152" s="522"/>
      <c r="AJ152" s="430"/>
    </row>
    <row r="153" spans="17:36" x14ac:dyDescent="0.4">
      <c r="Q153" s="429"/>
      <c r="R153" s="429"/>
      <c r="S153" s="430"/>
      <c r="T153" s="429"/>
      <c r="U153" s="429"/>
      <c r="V153" s="429"/>
      <c r="W153" s="429"/>
      <c r="X153" s="430"/>
      <c r="Y153" s="155"/>
      <c r="Z153" s="435"/>
      <c r="AA153" s="224"/>
      <c r="AB153" s="432"/>
      <c r="AD153" s="294"/>
      <c r="AE153" s="294"/>
      <c r="AF153" s="294"/>
      <c r="AG153" s="294"/>
      <c r="AH153" s="580" t="s">
        <v>281</v>
      </c>
      <c r="AJ153" s="430"/>
    </row>
    <row r="154" spans="17:36" ht="13.5" thickBot="1" x14ac:dyDescent="0.45">
      <c r="Q154" s="429"/>
      <c r="R154" s="429"/>
      <c r="S154" s="430"/>
      <c r="T154" s="429"/>
      <c r="U154" s="429"/>
      <c r="V154" s="429"/>
      <c r="W154" s="429"/>
      <c r="X154" s="430"/>
      <c r="Y154" s="155"/>
      <c r="Z154" s="435"/>
      <c r="AA154" s="224"/>
      <c r="AB154" s="432"/>
      <c r="AC154">
        <f>'[4]United Kingdom'!B16</f>
        <v>4</v>
      </c>
      <c r="AD154" s="294" t="str">
        <f>'[4]United Kingdom'!C16</f>
        <v>Magnox</v>
      </c>
      <c r="AE154" s="294">
        <f>'[4]United Kingdom'!D16</f>
        <v>1414</v>
      </c>
      <c r="AF154" s="294"/>
      <c r="AG154" s="294"/>
      <c r="AH154" s="448"/>
      <c r="AJ154" s="430"/>
    </row>
    <row r="155" spans="17:36" ht="13.5" thickBot="1" x14ac:dyDescent="0.45">
      <c r="Q155" s="429"/>
      <c r="R155" s="429"/>
      <c r="S155" s="430"/>
      <c r="T155" s="429"/>
      <c r="U155" s="429"/>
      <c r="V155" s="429"/>
      <c r="W155" s="445"/>
      <c r="X155" s="446"/>
      <c r="Y155" s="199"/>
      <c r="Z155" s="447"/>
      <c r="AA155" s="436"/>
      <c r="AB155" s="437">
        <v>2199</v>
      </c>
      <c r="AC155" s="137"/>
      <c r="AD155" s="581"/>
      <c r="AE155" s="252"/>
      <c r="AF155" s="221"/>
      <c r="AG155" s="220"/>
      <c r="AH155" s="582">
        <f>AE154*AG156*8.76/1000</f>
        <v>10.652510399999999</v>
      </c>
      <c r="AJ155" s="430"/>
    </row>
    <row r="156" spans="17:36" ht="13.5" thickBot="1" x14ac:dyDescent="0.45">
      <c r="Q156" s="429"/>
      <c r="R156" s="429"/>
      <c r="S156" s="430"/>
      <c r="T156" s="429"/>
      <c r="U156" s="429"/>
      <c r="V156" s="429"/>
      <c r="W156" s="429"/>
      <c r="X156" s="430"/>
      <c r="Y156" s="155"/>
      <c r="Z156" s="435"/>
      <c r="AA156" s="224"/>
      <c r="AB156" s="432"/>
      <c r="AC156" s="510"/>
      <c r="AD156" s="294"/>
      <c r="AE156" s="258"/>
      <c r="AF156" s="259"/>
      <c r="AG156" s="231">
        <v>0.86</v>
      </c>
      <c r="AH156" s="448"/>
      <c r="AI156" s="449"/>
      <c r="AJ156" s="430"/>
    </row>
    <row r="157" spans="17:36" x14ac:dyDescent="0.4">
      <c r="Q157" s="429"/>
      <c r="R157" s="429"/>
      <c r="S157" s="430"/>
      <c r="T157" s="429"/>
      <c r="U157" s="429"/>
      <c r="V157" s="429"/>
      <c r="W157" s="429"/>
      <c r="X157" s="430"/>
      <c r="Y157" s="155"/>
      <c r="Z157" s="435"/>
      <c r="AA157" s="224"/>
      <c r="AB157" s="432"/>
      <c r="AD157" s="294"/>
      <c r="AE157" s="294"/>
      <c r="AF157" s="294"/>
      <c r="AG157" s="294"/>
      <c r="AH157" s="448"/>
      <c r="AI157" s="449"/>
      <c r="AJ157" s="430"/>
    </row>
    <row r="158" spans="17:36" ht="13.5" thickBot="1" x14ac:dyDescent="0.45">
      <c r="Q158" s="429"/>
      <c r="R158" s="429"/>
      <c r="S158" s="430"/>
      <c r="T158" s="429"/>
      <c r="U158" s="429"/>
      <c r="V158" s="429"/>
      <c r="W158" s="429"/>
      <c r="X158" s="430"/>
      <c r="Y158" s="155"/>
      <c r="Z158" s="435"/>
      <c r="AA158" s="224"/>
      <c r="AB158" s="432"/>
      <c r="AC158">
        <f>'[4]United Kingdom'!B17</f>
        <v>14</v>
      </c>
      <c r="AD158" s="294" t="str">
        <f>'[4]United Kingdom'!C17</f>
        <v>AGR</v>
      </c>
      <c r="AE158" s="294">
        <f>'[4]United Kingdom'!D17</f>
        <v>8425</v>
      </c>
      <c r="AF158" s="294"/>
      <c r="AG158" s="294"/>
      <c r="AH158" s="448"/>
      <c r="AI158" s="449"/>
      <c r="AJ158" s="430"/>
    </row>
    <row r="159" spans="17:36" ht="13.5" thickBot="1" x14ac:dyDescent="0.45">
      <c r="Q159" s="429"/>
      <c r="R159" s="429"/>
      <c r="S159" s="430"/>
      <c r="T159" s="429"/>
      <c r="U159" s="429"/>
      <c r="V159" s="429"/>
      <c r="W159" s="429"/>
      <c r="X159" s="446"/>
      <c r="Y159" s="199"/>
      <c r="Z159" s="447"/>
      <c r="AA159" s="436"/>
      <c r="AB159" s="453"/>
      <c r="AC159" s="137"/>
      <c r="AD159" s="267">
        <v>600</v>
      </c>
      <c r="AE159" s="252"/>
      <c r="AF159" s="221"/>
      <c r="AG159" s="220"/>
      <c r="AH159" s="448">
        <f>AE158*AG160*8.76/1000</f>
        <v>51.662099999999995</v>
      </c>
      <c r="AI159" s="472">
        <f>AH155+AH159+AH163</f>
        <v>71.0104872</v>
      </c>
      <c r="AJ159" s="430"/>
    </row>
    <row r="160" spans="17:36" ht="13.5" thickBot="1" x14ac:dyDescent="0.45">
      <c r="Q160" s="429"/>
      <c r="R160" s="429"/>
      <c r="S160" s="430"/>
      <c r="T160" s="429"/>
      <c r="U160" s="429"/>
      <c r="V160" s="429"/>
      <c r="W160" s="429"/>
      <c r="X160" s="430"/>
      <c r="Y160" s="155"/>
      <c r="Z160" s="435"/>
      <c r="AA160" s="224"/>
      <c r="AB160" s="432"/>
      <c r="AC160" s="12">
        <f>AH159/AD159</f>
        <v>8.6103499999999986E-2</v>
      </c>
      <c r="AD160" s="294"/>
      <c r="AE160" s="258"/>
      <c r="AF160" s="259"/>
      <c r="AG160" s="231">
        <v>0.7</v>
      </c>
      <c r="AH160" s="448"/>
      <c r="AI160" s="449"/>
      <c r="AJ160" s="430"/>
    </row>
    <row r="161" spans="17:36" x14ac:dyDescent="0.4">
      <c r="Q161" s="429"/>
      <c r="R161" s="429"/>
      <c r="S161" s="430"/>
      <c r="T161" s="429"/>
      <c r="U161" s="429"/>
      <c r="V161" s="429"/>
      <c r="W161" s="429"/>
      <c r="X161" s="430"/>
      <c r="Y161" s="155"/>
      <c r="Z161" s="435"/>
      <c r="AA161" s="224"/>
      <c r="AB161" s="432"/>
      <c r="AD161" s="294"/>
      <c r="AE161" s="294"/>
      <c r="AF161" s="294"/>
      <c r="AG161" s="294"/>
      <c r="AH161" s="448"/>
      <c r="AI161" s="449"/>
      <c r="AJ161" s="430"/>
    </row>
    <row r="162" spans="17:36" ht="13.5" thickBot="1" x14ac:dyDescent="0.45">
      <c r="Q162" s="429"/>
      <c r="R162" s="429"/>
      <c r="S162" s="430"/>
      <c r="T162" s="429"/>
      <c r="U162" s="429"/>
      <c r="V162" s="429"/>
      <c r="W162" s="429"/>
      <c r="X162" s="430"/>
      <c r="Y162" s="155"/>
      <c r="Z162" s="435"/>
      <c r="AA162" s="224"/>
      <c r="AB162" s="432"/>
      <c r="AC162">
        <f>'[4]United Kingdom'!B18</f>
        <v>1</v>
      </c>
      <c r="AD162" s="294" t="str">
        <f>'[4]United Kingdom'!C18</f>
        <v>PWR</v>
      </c>
      <c r="AE162" s="294">
        <f>'[4]United Kingdom'!D18</f>
        <v>1196</v>
      </c>
      <c r="AF162" s="294"/>
      <c r="AG162" s="294"/>
      <c r="AH162" s="448"/>
      <c r="AI162" s="449"/>
      <c r="AJ162" s="430"/>
    </row>
    <row r="163" spans="17:36" ht="13.5" thickBot="1" x14ac:dyDescent="0.45">
      <c r="Q163" s="429"/>
      <c r="R163" s="429"/>
      <c r="S163" s="430"/>
      <c r="T163" s="429"/>
      <c r="U163" s="429"/>
      <c r="V163" s="429"/>
      <c r="W163" s="429"/>
      <c r="X163" s="430"/>
      <c r="Y163" s="155"/>
      <c r="Z163" s="435"/>
      <c r="AA163" s="436"/>
      <c r="AB163" s="453"/>
      <c r="AC163" s="137"/>
      <c r="AD163" s="577">
        <v>30</v>
      </c>
      <c r="AE163" s="252"/>
      <c r="AF163" s="221"/>
      <c r="AG163" s="220"/>
      <c r="AH163" s="583">
        <f>AE162*AG164*8.76/1000</f>
        <v>8.6958768000000006</v>
      </c>
      <c r="AI163" s="449"/>
      <c r="AJ163" s="430"/>
    </row>
    <row r="164" spans="17:36" ht="13.5" thickBot="1" x14ac:dyDescent="0.45">
      <c r="Q164" s="429"/>
      <c r="R164" s="429"/>
      <c r="S164" s="430"/>
      <c r="T164" s="429"/>
      <c r="U164" s="429"/>
      <c r="V164" s="429"/>
      <c r="W164" s="429"/>
      <c r="X164" s="430"/>
      <c r="Y164" s="155"/>
      <c r="Z164" s="435"/>
      <c r="AA164" s="224"/>
      <c r="AB164" s="432"/>
      <c r="AC164">
        <f>AH163/AD163</f>
        <v>0.28986256000000005</v>
      </c>
      <c r="AD164" s="294"/>
      <c r="AE164" s="258"/>
      <c r="AF164" s="259"/>
      <c r="AG164" s="231">
        <v>0.83</v>
      </c>
      <c r="AH164" s="367"/>
      <c r="AJ164" s="430"/>
    </row>
    <row r="165" spans="17:36" x14ac:dyDescent="0.4">
      <c r="Q165" s="429"/>
      <c r="R165" s="429"/>
      <c r="S165" s="430"/>
      <c r="T165" s="429"/>
      <c r="U165" s="429"/>
      <c r="V165" s="429"/>
      <c r="W165" s="429"/>
      <c r="X165" s="430"/>
      <c r="Y165" s="155"/>
      <c r="Z165" s="435"/>
      <c r="AA165" s="224"/>
      <c r="AB165" s="432"/>
      <c r="AD165" s="294"/>
      <c r="AE165" s="294"/>
      <c r="AF165" s="294"/>
      <c r="AG165" s="294"/>
      <c r="AH165" s="367"/>
      <c r="AJ165" s="430"/>
    </row>
    <row r="166" spans="17:36" ht="13.5" thickBot="1" x14ac:dyDescent="0.45">
      <c r="Q166" s="429"/>
      <c r="R166" s="429"/>
      <c r="S166" s="430"/>
      <c r="T166" s="429"/>
      <c r="U166" s="429"/>
      <c r="V166" s="584"/>
      <c r="W166" s="429"/>
      <c r="X166" s="430"/>
      <c r="Y166" s="155"/>
      <c r="Z166" s="435"/>
      <c r="AA166" s="224"/>
      <c r="AB166" s="432"/>
      <c r="AD166" s="294"/>
      <c r="AE166" s="294"/>
      <c r="AF166" s="294"/>
      <c r="AG166" s="294"/>
      <c r="AH166" s="367"/>
      <c r="AJ166" s="430"/>
    </row>
    <row r="167" spans="17:36" x14ac:dyDescent="0.4">
      <c r="X167" s="13"/>
      <c r="Y167" s="13"/>
      <c r="Z167" s="391"/>
      <c r="AB167" s="585"/>
      <c r="AD167" s="586"/>
      <c r="AE167" s="587"/>
      <c r="AF167" s="587"/>
      <c r="AG167" s="587"/>
      <c r="AH167" s="588" t="s">
        <v>282</v>
      </c>
    </row>
    <row r="168" spans="17:36" ht="13.5" thickBot="1" x14ac:dyDescent="0.45">
      <c r="X168" s="13"/>
      <c r="Y168" s="13"/>
      <c r="Z168" s="391"/>
      <c r="AB168" s="585"/>
      <c r="AD168" s="589">
        <f>'[4]The Netherlands'!C23</f>
        <v>0</v>
      </c>
      <c r="AE168" s="590">
        <v>0</v>
      </c>
      <c r="AF168" s="590"/>
      <c r="AG168" s="590"/>
      <c r="AH168" s="591"/>
    </row>
    <row r="169" spans="17:36" ht="13.5" thickBot="1" x14ac:dyDescent="0.45">
      <c r="X169" s="13"/>
      <c r="Y169" s="13"/>
      <c r="Z169" s="391"/>
      <c r="AA169" s="137"/>
      <c r="AB169" s="453"/>
      <c r="AC169" s="592"/>
      <c r="AD169" s="593">
        <v>0</v>
      </c>
      <c r="AE169" s="586"/>
      <c r="AF169" s="587"/>
      <c r="AG169" s="594"/>
      <c r="AH169" s="583">
        <f>AE168*AG170*8.76/1000</f>
        <v>0</v>
      </c>
      <c r="AI169" s="533">
        <f>AH169</f>
        <v>0</v>
      </c>
    </row>
    <row r="170" spans="17:36" ht="13.5" thickBot="1" x14ac:dyDescent="0.45">
      <c r="X170" s="13"/>
      <c r="Y170" s="13"/>
      <c r="Z170" s="13"/>
      <c r="AB170" s="585"/>
      <c r="AC170" s="510">
        <v>0</v>
      </c>
      <c r="AD170" s="589"/>
      <c r="AE170" s="595"/>
      <c r="AF170" s="596"/>
      <c r="AG170" s="597">
        <v>0.82</v>
      </c>
      <c r="AH170" s="591"/>
    </row>
    <row r="171" spans="17:36" x14ac:dyDescent="0.4">
      <c r="X171" s="13"/>
      <c r="Y171" s="13"/>
      <c r="Z171" s="13"/>
      <c r="AB171" s="585"/>
      <c r="AD171" s="589"/>
      <c r="AE171" s="590"/>
      <c r="AF171" s="590"/>
      <c r="AG171" s="590"/>
      <c r="AH171" s="591"/>
    </row>
    <row r="172" spans="17:36" ht="13.5" thickBot="1" x14ac:dyDescent="0.45">
      <c r="X172" s="13"/>
      <c r="Y172" s="13"/>
      <c r="Z172" s="13"/>
      <c r="AB172" s="585"/>
      <c r="AD172" s="595"/>
      <c r="AE172" s="596"/>
      <c r="AF172" s="596"/>
      <c r="AG172" s="596"/>
      <c r="AH172" s="598"/>
    </row>
    <row r="173" spans="17:36" x14ac:dyDescent="0.4">
      <c r="AB173" s="599"/>
    </row>
    <row r="174" spans="17:36" x14ac:dyDescent="0.4">
      <c r="AB174" s="599"/>
    </row>
    <row r="175" spans="17:36" x14ac:dyDescent="0.4">
      <c r="AB175" s="599"/>
    </row>
    <row r="176" spans="17:36" x14ac:dyDescent="0.4">
      <c r="AB176" s="599"/>
    </row>
    <row r="177" spans="28:28" x14ac:dyDescent="0.4">
      <c r="AB177" s="599"/>
    </row>
    <row r="178" spans="28:28" x14ac:dyDescent="0.4">
      <c r="AB178" s="599"/>
    </row>
  </sheetData>
  <mergeCells count="3">
    <mergeCell ref="Y6:AA6"/>
    <mergeCell ref="Y7:AA7"/>
    <mergeCell ref="B11:F12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SUP_NUC</vt:lpstr>
      <vt:lpstr>NUC_Chain_EU</vt:lpstr>
      <vt:lpstr>NUC to EU</vt:lpstr>
      <vt:lpstr>Country Flow Chart</vt:lpstr>
    </vt:vector>
  </TitlesOfParts>
  <Company>POLITO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lavagno</dc:creator>
  <cp:lastModifiedBy>Olex</cp:lastModifiedBy>
  <dcterms:created xsi:type="dcterms:W3CDTF">2010-05-06T13:09:16Z</dcterms:created>
  <dcterms:modified xsi:type="dcterms:W3CDTF">2020-05-01T15:04:41Z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944866359233856</vt:r8>
  </property>
</Properties>
</file>