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"/>
    </mc:Choice>
  </mc:AlternateContent>
  <xr:revisionPtr revIDLastSave="0" documentId="13_ncr:1_{22FCAA01-F10A-4072-8381-8E59AA11C59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2" i="4" l="1"/>
  <c r="C61" i="4"/>
  <c r="C60" i="4"/>
  <c r="C59" i="4"/>
  <c r="D58" i="4"/>
  <c r="D57" i="4"/>
  <c r="C58" i="4"/>
  <c r="C57" i="4"/>
  <c r="D59" i="4"/>
  <c r="D62" i="4"/>
  <c r="D61" i="4"/>
  <c r="D60" i="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F5" i="5"/>
  <c r="E6" i="5" l="1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B59" i="7" s="1"/>
  <c r="C36" i="21"/>
  <c r="B17" i="7" s="1"/>
  <c r="B58" i="7" s="1"/>
  <c r="C35" i="21"/>
  <c r="B16" i="7" s="1"/>
  <c r="B5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F53" i="7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C5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C5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G56" i="7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H54" i="7"/>
  <c r="H55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<sst xmlns="http://schemas.openxmlformats.org/spreadsheetml/2006/main" count="1405" uniqueCount="633">
  <si>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</si>
  <si>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</si>
  <si>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</si>
  <si>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</si>
  <si>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</si>
  <si>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</si>
  <si>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</si>
  <si>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</si>
  <si>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</si>
  <si>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</si>
  <si>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</si>
  <si>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</si>
  <si>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</si>
  <si>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</si>
  <si>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</si>
  <si>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</si>
  <si>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</si>
  <si>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</si>
  <si>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</si>
  <si>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</si>
  <si>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</si>
  <si>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</si>
  <si>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</si>
  <si>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</si>
  <si>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</si>
  <si>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</si>
  <si>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</si>
  <si>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</si>
  <si>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</si>
  <si>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</si>
  <si>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</si>
  <si>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</si>
  <si>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</si>
  <si>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</si>
  <si>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</si>
  <si>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</si>
  <si>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</si>
  <si>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</si>
  <si>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</si>
  <si>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</si>
  <si>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</si>
  <si>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</si>
  <si>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</si>
  <si>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</si>
  <si>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</si>
  <si>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</si>
  <si>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</si>
  <si>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</si>
  <si>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</si>
  <si>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</si>
  <si>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</si>
  <si>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</si>
  <si>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</si>
  <si>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</si>
  <si>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</si>
  <si>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</si>
  <si>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</si>
  <si>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</si>
  <si>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</si>
  <si>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</si>
  <si>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</si>
  <si>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</si>
  <si>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</si>
  <si>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</si>
  <si>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</si>
  <si>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</si>
  <si>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</si>
  <si>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</si>
  <si>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</si>
  <si>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</si>
  <si>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</si>
  <si>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</si>
  <si>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</si>
  <si>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</si>
  <si>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</si>
  <si>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</si>
  <si>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</si>
  <si>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</si>
  <si>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</si>
  <si>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</si>
  <si>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</si>
  <si>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</si>
  <si>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</si>
  <si>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</si>
  <si>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</si>
  <si>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</si>
  <si>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</si>
  <si>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</si>
  <si>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</si>
  <si>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</si>
  <si>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</si>
  <si>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</si>
  <si>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</si>
  <si>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</si>
  <si>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</si>
  <si>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</si>
  <si>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</si>
  <si>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</si>
  <si>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</si>
  <si>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</si>
  <si>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</si>
  <si>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</si>
  <si>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</si>
  <si>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</si>
  <si>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</si>
  <si>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</si>
  <si>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</si>
  <si>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</si>
  <si>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</si>
  <si>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</si>
  <si>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</si>
  <si>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</si>
  <si>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</si>
  <si>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</si>
  <si>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</si>
  <si>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</si>
  <si>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</si>
  <si>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</si>
  <si>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</si>
  <si>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</si>
  <si>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</si>
  <si>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</si>
  <si>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</si>
  <si>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</si>
  <si>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</si>
  <si>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</si>
  <si>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</si>
  <si>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</si>
  <si>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</si>
  <si>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</si>
  <si>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</si>
  <si>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</si>
  <si>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</si>
  <si>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</si>
  <si>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</si>
  <si>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</si>
  <si>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</si>
  <si>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</si>
  <si>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</si>
  <si>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</si>
  <si>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</si>
  <si>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</si>
  <si>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</si>
  <si>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</si>
  <si>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</si>
  <si>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</si>
  <si>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</si>
  <si>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</si>
  <si>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</si>
  <si>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</si>
  <si>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</si>
  <si>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</si>
  <si>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</si>
  <si>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</si>
  <si>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</si>
  <si>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</si>
  <si>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</si>
  <si>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</si>
  <si>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</si>
  <si>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</si>
  <si>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</si>
  <si>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</si>
  <si>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</si>
  <si>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</si>
  <si>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</si>
  <si>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</si>
  <si>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</si>
  <si>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</si>
  <si>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</si>
  <si>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</si>
  <si>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</si>
  <si>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</si>
  <si>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</si>
  <si>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</si>
  <si>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</si>
  <si>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</si>
  <si>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</si>
  <si>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</si>
  <si>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</si>
  <si>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</si>
  <si>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</si>
  <si>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</si>
  <si>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</si>
  <si>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</si>
  <si>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</si>
  <si>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</si>
  <si>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</si>
  <si>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</si>
  <si>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</si>
  <si>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</si>
  <si>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</si>
  <si>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</si>
  <si>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</si>
  <si>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</si>
  <si>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</si>
  <si>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</si>
  <si>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</si>
  <si>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</si>
  <si>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</si>
  <si>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</si>
  <si>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</si>
  <si>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</si>
  <si>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</si>
  <si>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</si>
  <si>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</si>
  <si>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</si>
  <si>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</si>
  <si>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</si>
  <si>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</si>
  <si>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</si>
  <si>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</si>
  <si>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</si>
  <si>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</si>
  <si>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</si>
  <si>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</si>
  <si>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</si>
  <si>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</si>
  <si>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</si>
  <si>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</si>
  <si>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</si>
  <si>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</si>
  <si>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</si>
  <si>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</si>
  <si>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</si>
  <si>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</si>
  <si>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</si>
  <si>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</si>
  <si>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</si>
  <si>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</si>
  <si>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</si>
  <si>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</si>
  <si>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</si>
  <si>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</si>
  <si>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</si>
  <si>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</si>
  <si>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</si>
  <si>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</si>
  <si>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</si>
  <si>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</si>
  <si>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</si>
  <si>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</si>
  <si>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</si>
  <si>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</si>
  <si>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</si>
  <si>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</si>
  <si>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</si>
  <si>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</si>
  <si>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</si>
  <si>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</si>
  <si>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</si>
  <si>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</si>
  <si>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</si>
  <si>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</si>
  <si>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</si>
  <si>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</si>
  <si>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</si>
  <si>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</si>
  <si>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</si>
  <si>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</si>
  <si>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</si>
  <si>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</si>
  <si>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</si>
  <si>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</si>
  <si>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</si>
  <si>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</si>
  <si>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</si>
  <si>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</si>
  <si>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</si>
  <si>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</si>
  <si>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</si>
  <si>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</si>
  <si>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</si>
  <si>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</si>
  <si>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</si>
  <si>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</si>
  <si>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</si>
  <si>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</si>
  <si>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</si>
  <si>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</si>
  <si>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</si>
  <si>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</si>
  <si>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</si>
  <si>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</si>
  <si>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</si>
  <si>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</si>
  <si>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</si>
  <si>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</si>
  <si>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</si>
  <si>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</si>
  <si>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</si>
  <si>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</si>
  <si>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</si>
  <si>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</si>
  <si>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</si>
  <si>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</si>
  <si>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</si>
  <si>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</si>
  <si>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</si>
  <si>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</si>
  <si>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</si>
  <si>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</si>
  <si>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</si>
  <si>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</si>
  <si>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</si>
  <si>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</si>
  <si>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</si>
  <si>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</si>
  <si>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</si>
  <si>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</si>
  <si>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</si>
  <si>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</si>
  <si>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</si>
  <si>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</si>
  <si>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</si>
  <si>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</si>
  <si>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</si>
  <si>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</si>
  <si>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</si>
  <si>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</si>
  <si>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</si>
  <si>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</si>
  <si>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</si>
  <si>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</si>
  <si>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</si>
  <si>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</si>
  <si>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</si>
  <si>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</si>
  <si>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</si>
  <si>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</si>
  <si>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</si>
  <si>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</si>
  <si>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</si>
  <si>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</si>
  <si>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</si>
  <si>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</si>
  <si>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</si>
  <si>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</si>
  <si>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</si>
  <si>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</si>
  <si>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</si>
  <si>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</si>
  <si>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</si>
  <si>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</si>
  <si>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</si>
  <si>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</si>
  <si>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</si>
  <si>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</si>
  <si>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</si>
  <si>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</si>
  <si>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</si>
  <si>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</si>
  <si>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</si>
  <si>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</si>
  <si>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</si>
  <si>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</si>
  <si>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</si>
  <si>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</si>
  <si>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</si>
  <si>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</si>
  <si>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</si>
  <si>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</si>
  <si>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</si>
  <si>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</si>
  <si>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</si>
  <si>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</si>
  <si>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</si>
  <si>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</si>
  <si>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</si>
  <si>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</si>
  <si>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</si>
  <si>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</si>
  <si>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</si>
  <si>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</si>
  <si>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</si>
  <si>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</si>
  <si>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</si>
  <si>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</si>
  <si>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</si>
  <si>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</si>
  <si>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</si>
  <si>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</si>
  <si>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</si>
  <si>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</si>
  <si>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</si>
  <si>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</si>
  <si>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</si>
  <si>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</si>
  <si>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</si>
  <si>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</si>
  <si>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</si>
  <si>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</si>
  <si>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</si>
  <si>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</si>
  <si>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</si>
  <si>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</si>
  <si>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</si>
  <si>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</si>
  <si>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</si>
  <si>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</si>
  <si>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</si>
  <si>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</si>
  <si>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</si>
  <si>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</si>
  <si>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</si>
  <si>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</si>
  <si>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</si>
  <si>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</si>
  <si>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</si>
  <si>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</si>
  <si>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</si>
  <si>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</si>
  <si>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</si>
  <si>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</si>
  <si>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</si>
  <si>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</si>
  <si>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</si>
  <si>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</si>
  <si>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</si>
  <si>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</si>
  <si>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</si>
  <si>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</si>
  <si>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</si>
  <si>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</si>
  <si>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</si>
  <si>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</si>
  <si>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</si>
  <si>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</si>
  <si>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</si>
  <si>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</si>
  <si>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</si>
  <si>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</si>
  <si>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</si>
  <si>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</si>
  <si>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</si>
  <si>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</si>
  <si>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</si>
  <si>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</si>
  <si>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</si>
  <si>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</si>
  <si>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</si>
  <si>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</si>
  <si>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</si>
  <si>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</si>
  <si>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</si>
  <si>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</si>
  <si>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</si>
  <si>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</si>
  <si>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</si>
  <si>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</si>
  <si>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</si>
  <si>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</si>
  <si>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</si>
  <si>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</si>
  <si>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</si>
  <si>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</si>
  <si>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</si>
  <si>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</si>
  <si>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</si>
  <si>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</si>
  <si>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</si>
  <si>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</si>
  <si>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</si>
  <si>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</si>
  <si>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</si>
  <si>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</si>
  <si>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</si>
  <si>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</si>
  <si>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</si>
  <si>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</si>
  <si>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</si>
  <si>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</si>
  <si>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</si>
  <si>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</si>
  <si>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</si>
  <si>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</si>
  <si>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</si>
  <si>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</si>
  <si>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</si>
  <si>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</si>
  <si>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</si>
  <si>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</si>
  <si>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</si>
  <si>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</si>
  <si>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</si>
  <si>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</si>
  <si>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</si>
  <si>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</si>
  <si>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</si>
  <si>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</si>
  <si>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</si>
  <si>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</si>
  <si>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</si>
  <si>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</si>
  <si>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</si>
  <si>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</si>
  <si>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</si>
  <si>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</si>
  <si>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</si>
  <si>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</si>
  <si>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</si>
  <si>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</si>
  <si>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</si>
  <si>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</si>
  <si>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</si>
  <si>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</si>
  <si>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</si>
  <si>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</si>
  <si>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</si>
  <si>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</si>
  <si>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</si>
  <si>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</si>
  <si>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</si>
  <si>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</si>
  <si>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</si>
  <si>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</si>
  <si>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</si>
  <si>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</si>
  <si>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</si>
  <si>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</si>
  <si>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</si>
  <si>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</si>
  <si>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</si>
  <si>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</si>
  <si>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</si>
  <si>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</si>
  <si>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</si>
  <si>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</si>
  <si>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</si>
  <si>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</si>
  <si>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</si>
  <si>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</si>
  <si>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</si>
  <si>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</si>
  <si>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</si>
  <si>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</si>
  <si>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</si>
  <si>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</si>
  <si>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</si>
  <si>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</si>
  <si>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</si>
  <si>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</si>
  <si>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</si>
  <si>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</si>
  <si>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</si>
  <si>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</si>
  <si>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</si>
  <si>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</si>
  <si>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</si>
  <si>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</si>
  <si>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</si>
  <si>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</si>
  <si>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</si>
  <si>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</si>
  <si>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</si>
  <si>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</si>
  <si>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</si>
  <si>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</si>
  <si>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</si>
  <si>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</si>
  <si>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</si>
  <si>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</si>
  <si>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</si>
  <si>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</si>
  <si>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</si>
  <si>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</si>
  <si>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</si>
  <si>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</si>
  <si>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</si>
  <si>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</si>
  <si>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</si>
  <si>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</si>
  <si>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</si>
  <si>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</si>
  <si>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</si>
  <si>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</si>
  <si>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</si>
  <si>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</si>
  <si>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</si>
  <si>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</si>
  <si>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</si>
  <si>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</si>
  <si>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</si>
  <si>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</si>
  <si>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</si>
  <si>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</si>
  <si>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</si>
  <si>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</si>
  <si>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</si>
  <si>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</si>
  <si>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</si>
  <si>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</si>
  <si>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</si>
  <si>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</si>
  <si>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</si>
  <si>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</si>
  <si>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</si>
  <si>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</si>
  <si>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</si>
  <si>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</si>
  <si>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</si>
  <si>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</si>
  <si>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</si>
  <si>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</si>
  <si>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</si>
  <si>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</si>
  <si>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</si>
  <si>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</si>
  <si>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</si>
  <si>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</si>
  <si>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</si>
  <si>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</si>
  <si>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</si>
  <si>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</si>
  <si>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</si>
  <si>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</si>
  <si>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</si>
  <si>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</si>
  <si>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</si>
  <si>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</si>
  <si>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</si>
  <si>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</si>
  <si>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</si>
  <si>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</si>
  <si>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</si>
  <si>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</si>
  <si>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</si>
  <si>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</si>
  <si>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H</t>
  </si>
  <si>
    <t>M</t>
  </si>
  <si>
    <t>High pressure (500 bar)</t>
  </si>
  <si>
    <t>Medium pressure (100 bar)</t>
  </si>
  <si>
    <t>Centralised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</si>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</sst>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</cellStyleXfs>
  <cellXfs count="456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8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Normal_2000balx" xfId="7" xr:uid="{EFD0CB67-65B2-4C54-B075-572C00869A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E17" sqref="E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40" t="s">
        <v>577</v>
      </c>
      <c r="B16" s="440"/>
      <c r="C16" s="440"/>
      <c r="D16" s="440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578</v>
      </c>
      <c r="B19" s="439" t="s">
        <v>593</v>
      </c>
      <c r="C19" s="439"/>
      <c r="D19" s="439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579</v>
      </c>
      <c r="B20" s="439" t="s">
        <v>592</v>
      </c>
      <c r="C20" s="439"/>
      <c r="D20" s="439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580</v>
      </c>
      <c r="B21" s="286" t="s">
        <v>594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581</v>
      </c>
      <c r="B23" s="439" t="s">
        <v>590</v>
      </c>
      <c r="C23" s="439"/>
      <c r="D23" s="439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591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589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582</v>
      </c>
      <c r="B26" s="439" t="s">
        <v>589</v>
      </c>
      <c r="C26" s="439"/>
      <c r="D26" s="439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286"/>
      <c r="C27" s="286"/>
      <c r="D27" s="286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583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584</v>
      </c>
      <c r="B30" s="441" t="s">
        <v>585</v>
      </c>
      <c r="C30" s="439"/>
      <c r="D30" s="439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586</v>
      </c>
      <c r="B31" s="439" t="s">
        <v>587</v>
      </c>
      <c r="C31" s="439"/>
      <c r="D31" s="439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588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452</v>
      </c>
      <c r="C5" s="228" t="s">
        <v>453</v>
      </c>
      <c r="D5" s="228" t="s">
        <v>454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455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456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.75" thickBot="1">
      <c r="A10" s="229" t="s">
        <v>279</v>
      </c>
      <c r="B10" s="229" t="s">
        <v>457</v>
      </c>
    </row>
    <row r="11" spans="1:30">
      <c r="A11" s="230" t="s">
        <v>458</v>
      </c>
      <c r="B11" s="230" t="s">
        <v>459</v>
      </c>
    </row>
    <row r="12" spans="1:30">
      <c r="A12" s="31" t="s">
        <v>460</v>
      </c>
      <c r="B12" s="31" t="s">
        <v>461</v>
      </c>
    </row>
    <row r="13" spans="1:30">
      <c r="A13" s="31" t="s">
        <v>462</v>
      </c>
      <c r="B13" s="31" t="s">
        <v>463</v>
      </c>
    </row>
    <row r="14" spans="1:30">
      <c r="A14" s="31" t="s">
        <v>464</v>
      </c>
      <c r="B14" s="31" t="s">
        <v>465</v>
      </c>
    </row>
    <row r="15" spans="1:30">
      <c r="A15" s="31" t="s">
        <v>466</v>
      </c>
      <c r="B15" s="31" t="s">
        <v>467</v>
      </c>
    </row>
    <row r="16" spans="1:30">
      <c r="A16" s="31" t="s">
        <v>468</v>
      </c>
      <c r="B16" s="31" t="s">
        <v>469</v>
      </c>
    </row>
    <row r="17" spans="1:2">
      <c r="A17" s="31" t="s">
        <v>470</v>
      </c>
      <c r="B17" s="31" t="s">
        <v>471</v>
      </c>
    </row>
    <row r="18" spans="1:2">
      <c r="A18" s="31" t="s">
        <v>472</v>
      </c>
      <c r="B18" s="31" t="s">
        <v>473</v>
      </c>
    </row>
    <row r="19" spans="1:2">
      <c r="A19" s="31" t="s">
        <v>474</v>
      </c>
      <c r="B19" s="31" t="s">
        <v>475</v>
      </c>
    </row>
    <row r="20" spans="1:2">
      <c r="A20" s="31" t="s">
        <v>476</v>
      </c>
      <c r="B20" s="31" t="s">
        <v>477</v>
      </c>
    </row>
    <row r="21" spans="1:2">
      <c r="A21" s="31" t="s">
        <v>478</v>
      </c>
      <c r="B21" s="31" t="s">
        <v>479</v>
      </c>
    </row>
    <row r="22" spans="1:2">
      <c r="A22" s="31" t="s">
        <v>480</v>
      </c>
      <c r="B22" s="31" t="s">
        <v>481</v>
      </c>
    </row>
    <row r="23" spans="1:2">
      <c r="A23" s="31" t="s">
        <v>482</v>
      </c>
      <c r="B23" s="31" t="s">
        <v>483</v>
      </c>
    </row>
    <row r="24" spans="1:2">
      <c r="A24" s="31" t="s">
        <v>484</v>
      </c>
      <c r="B24" s="31" t="s">
        <v>485</v>
      </c>
    </row>
    <row r="25" spans="1:2">
      <c r="A25" s="31" t="s">
        <v>486</v>
      </c>
      <c r="B25" s="31" t="s">
        <v>487</v>
      </c>
    </row>
    <row r="26" spans="1:2">
      <c r="A26" s="31" t="s">
        <v>488</v>
      </c>
      <c r="B26" s="31" t="s">
        <v>489</v>
      </c>
    </row>
    <row r="27" spans="1:2">
      <c r="A27" s="31" t="s">
        <v>490</v>
      </c>
      <c r="B27" s="31" t="s">
        <v>491</v>
      </c>
    </row>
    <row r="28" spans="1:2">
      <c r="A28" s="31" t="s">
        <v>492</v>
      </c>
      <c r="B28" s="31" t="s">
        <v>493</v>
      </c>
    </row>
    <row r="29" spans="1:2">
      <c r="A29" s="31" t="s">
        <v>494</v>
      </c>
      <c r="B29" s="31" t="s">
        <v>495</v>
      </c>
    </row>
    <row r="30" spans="1:2">
      <c r="A30" s="31" t="s">
        <v>496</v>
      </c>
      <c r="B30" s="31" t="s">
        <v>497</v>
      </c>
    </row>
    <row r="31" spans="1:2">
      <c r="A31" s="31" t="s">
        <v>498</v>
      </c>
      <c r="B31" s="31" t="s">
        <v>499</v>
      </c>
    </row>
    <row r="32" spans="1:2">
      <c r="A32" s="31" t="s">
        <v>500</v>
      </c>
      <c r="B32" s="31" t="s">
        <v>501</v>
      </c>
    </row>
    <row r="33" spans="1:2">
      <c r="A33" s="31" t="s">
        <v>502</v>
      </c>
      <c r="B33" s="31" t="s">
        <v>503</v>
      </c>
    </row>
    <row r="34" spans="1:2">
      <c r="A34" s="31" t="s">
        <v>504</v>
      </c>
      <c r="B34" s="31" t="s">
        <v>505</v>
      </c>
    </row>
    <row r="35" spans="1:2">
      <c r="A35" s="31" t="s">
        <v>506</v>
      </c>
      <c r="B35" s="31" t="s">
        <v>507</v>
      </c>
    </row>
    <row r="36" spans="1:2">
      <c r="A36" s="31" t="s">
        <v>508</v>
      </c>
      <c r="B36" s="31" t="s">
        <v>509</v>
      </c>
    </row>
    <row r="37" spans="1:2">
      <c r="A37" s="231" t="s">
        <v>510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425781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42578125" style="131" customWidth="1"/>
    <col min="17" max="17" width="7.42578125" style="131" bestFit="1" customWidth="1"/>
    <col min="18" max="18" width="8.140625" style="131" bestFit="1" customWidth="1"/>
    <col min="19" max="19" width="7.28515625" style="131" bestFit="1" customWidth="1"/>
    <col min="20" max="20" width="7.42578125" style="131" bestFit="1" customWidth="1"/>
    <col min="21" max="21" width="8.42578125" style="131" bestFit="1" customWidth="1"/>
    <col min="22" max="22" width="6.85546875" style="131" bestFit="1" customWidth="1"/>
    <col min="23" max="25" width="5.42578125" style="131" customWidth="1"/>
    <col min="26" max="26" width="5.425781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42578125" style="132" bestFit="1" customWidth="1"/>
    <col min="43" max="43" width="9.28515625" style="131" bestFit="1" customWidth="1"/>
    <col min="44" max="16384" width="9.140625" style="131"/>
  </cols>
  <sheetData>
    <row r="1" spans="1:43" ht="96.75" thickBot="1">
      <c r="A1" s="212" t="s">
        <v>426</v>
      </c>
      <c r="B1" s="211" t="s">
        <v>427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441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442</v>
      </c>
      <c r="AF1" s="218" t="s">
        <v>443</v>
      </c>
      <c r="AG1" s="209" t="s">
        <v>187</v>
      </c>
      <c r="AH1" s="209" t="s">
        <v>188</v>
      </c>
      <c r="AI1" s="221" t="s">
        <v>444</v>
      </c>
      <c r="AJ1" s="218" t="s">
        <v>445</v>
      </c>
      <c r="AK1" s="221" t="s">
        <v>446</v>
      </c>
      <c r="AL1" s="218" t="s">
        <v>447</v>
      </c>
      <c r="AM1" s="219" t="s">
        <v>448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604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605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606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607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608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609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610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611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612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613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614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615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616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topLeftCell="O2" zoomScaleNormal="100" workbookViewId="0">
      <selection activeCell="AB7" sqref="AB7:AB8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5.5703125" bestFit="1" customWidth="1"/>
  </cols>
  <sheetData>
    <row r="3" spans="2:29" ht="18.75">
      <c r="B3" s="165" t="s">
        <v>282</v>
      </c>
      <c r="E3" s="165" t="s">
        <v>395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399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390</v>
      </c>
      <c r="P5" s="167" t="s">
        <v>335</v>
      </c>
      <c r="Q5" s="167" t="s">
        <v>336</v>
      </c>
      <c r="S5" s="167" t="s">
        <v>9</v>
      </c>
      <c r="T5" s="167" t="s">
        <v>423</v>
      </c>
      <c r="V5" s="167" t="s">
        <v>378</v>
      </c>
      <c r="W5" s="167" t="s">
        <v>400</v>
      </c>
      <c r="Y5" s="167" t="s">
        <v>382</v>
      </c>
      <c r="Z5" s="167" t="s">
        <v>385</v>
      </c>
      <c r="AB5" s="167" t="s">
        <v>627</v>
      </c>
      <c r="AC5" s="167" t="s">
        <v>629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391</v>
      </c>
      <c r="P6" s="167" t="s">
        <v>281</v>
      </c>
      <c r="Q6" s="167" t="s">
        <v>203</v>
      </c>
      <c r="S6" s="167" t="s">
        <v>13</v>
      </c>
      <c r="T6" s="167" t="s">
        <v>396</v>
      </c>
      <c r="V6" s="167" t="s">
        <v>621</v>
      </c>
      <c r="W6" s="167" t="s">
        <v>617</v>
      </c>
      <c r="Y6" s="167" t="s">
        <v>383</v>
      </c>
      <c r="Z6" s="167" t="s">
        <v>386</v>
      </c>
      <c r="AB6" s="167" t="s">
        <v>628</v>
      </c>
      <c r="AC6" s="167" t="s">
        <v>630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392</v>
      </c>
      <c r="P7" s="167"/>
      <c r="Q7" s="167"/>
      <c r="S7" s="167" t="s">
        <v>62</v>
      </c>
      <c r="T7" s="167" t="s">
        <v>397</v>
      </c>
      <c r="V7" s="167" t="s">
        <v>401</v>
      </c>
      <c r="W7" s="167"/>
      <c r="Y7" s="167"/>
      <c r="Z7" s="167"/>
      <c r="AB7" s="167" t="s">
        <v>388</v>
      </c>
      <c r="AC7" s="167" t="s">
        <v>631</v>
      </c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393</v>
      </c>
      <c r="N8" t="s">
        <v>394</v>
      </c>
      <c r="P8" s="167"/>
      <c r="Q8" s="167"/>
      <c r="S8" s="167" t="s">
        <v>421</v>
      </c>
      <c r="T8" s="167" t="s">
        <v>422</v>
      </c>
      <c r="V8" t="s">
        <v>424</v>
      </c>
      <c r="W8" t="s">
        <v>425</v>
      </c>
      <c r="AB8" s="167" t="s">
        <v>389</v>
      </c>
      <c r="AC8" s="167" t="s">
        <v>632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398</v>
      </c>
      <c r="T9" s="167" t="s">
        <v>420</v>
      </c>
      <c r="V9" s="167" t="s">
        <v>405</v>
      </c>
      <c r="W9" s="167" t="s">
        <v>409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406</v>
      </c>
      <c r="W10" s="167" t="s">
        <v>410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407</v>
      </c>
      <c r="W11" s="167" t="s">
        <v>411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408</v>
      </c>
      <c r="W12" s="167" t="s">
        <v>412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576</v>
      </c>
      <c r="C61" s="167" t="s">
        <v>440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450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439</v>
      </c>
      <c r="C68" s="202" t="s">
        <v>438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416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413</v>
      </c>
      <c r="C70" s="167" t="s">
        <v>417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414</v>
      </c>
      <c r="C71" s="167" t="s">
        <v>418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415</v>
      </c>
      <c r="C72" s="167" t="s">
        <v>419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434</v>
      </c>
      <c r="C83" s="167" t="s">
        <v>436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435</v>
      </c>
      <c r="C84" s="167" t="s">
        <v>437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3"/>
  <sheetViews>
    <sheetView tabSelected="1" topLeftCell="A42" zoomScale="83" zoomScaleNormal="100" workbookViewId="0">
      <selection activeCell="F56" sqref="F56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438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CONVENTIONS!$B$35&amp;CONVENTIONS!AB7</f>
        <v>ELCC</v>
      </c>
      <c r="D57" s="179" t="str">
        <f>CONVENTIONS!$C$35 &amp;  " - " &amp; CONVENTIONS!AC7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CONVENTIONS!$B$35&amp;CONVENTIONS!AB8</f>
        <v>ELCD</v>
      </c>
      <c r="D58" s="179" t="str">
        <f>CONVENTIONS!$C$35 &amp;  " - " &amp; CONVENTIONS!AC8</f>
        <v>Electricity - Distributed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CONVENTIONS!$B$82</f>
        <v>H2</v>
      </c>
      <c r="D59" s="179" t="str">
        <f>CONVENTIONS!$C$82</f>
        <v>Hydrogen</v>
      </c>
      <c r="E59" s="174" t="s">
        <v>10</v>
      </c>
      <c r="F59" s="174"/>
      <c r="G59" s="174" t="s">
        <v>63</v>
      </c>
      <c r="H59" s="174"/>
      <c r="I59" s="174"/>
    </row>
    <row r="60" spans="2:9">
      <c r="B60" s="174" t="s">
        <v>23</v>
      </c>
      <c r="C60" s="179" t="str">
        <f>CONVENTIONS!$B$82&amp;CONVENTIONS!Y6</f>
        <v>H2L</v>
      </c>
      <c r="D60" s="179" t="str">
        <f>CONVENTIONS!$C$82 &amp; " " &amp; CONVENTIONS!Z6</f>
        <v>Hydrogen liquid</v>
      </c>
      <c r="E60" s="174" t="s">
        <v>10</v>
      </c>
      <c r="F60" s="174"/>
      <c r="G60" s="174" t="s">
        <v>63</v>
      </c>
      <c r="H60" s="174"/>
      <c r="I60" s="174"/>
    </row>
    <row r="61" spans="2:9">
      <c r="B61" s="174" t="s">
        <v>23</v>
      </c>
      <c r="C61" s="179" t="str">
        <f>CONVENTIONS!$B$82&amp;CONVENTIONS!Y5&amp;CONVENTIONS!AB5</f>
        <v>H2GH</v>
      </c>
      <c r="D61" s="179" t="str">
        <f>CONVENTIONS!$C$82 &amp; " " &amp; CONVENTIONS!Z5 &amp; " - " &amp; CONVENTIONS!AC5 &amp; " (" &amp; CONVENTIONS!$P$5 &amp; ")"</f>
        <v>Hydrogen gaseous - High pressure (500 bar) (SUP)</v>
      </c>
      <c r="E61" s="174" t="s">
        <v>10</v>
      </c>
      <c r="F61" s="174"/>
      <c r="G61" s="174" t="s">
        <v>63</v>
      </c>
      <c r="H61" s="174"/>
      <c r="I61" s="174"/>
    </row>
    <row r="62" spans="2:9">
      <c r="B62" s="174" t="s">
        <v>23</v>
      </c>
      <c r="C62" s="179" t="str">
        <f>CONVENTIONS!$B$82&amp;CONVENTIONS!Y5&amp;CONVENTIONS!AB6</f>
        <v>H2GM</v>
      </c>
      <c r="D62" s="179" t="str">
        <f>CONVENTIONS!$C$82 &amp; " " &amp; CONVENTIONS!Z5 &amp; " - " &amp; CONVENTIONS!AC6 &amp; " (" &amp; CONVENTIONS!$P$5 &amp; ")"</f>
        <v>Hydrogen gaseous - Medium pressure (100 bar) (SUP)</v>
      </c>
      <c r="E62" s="174" t="s">
        <v>10</v>
      </c>
      <c r="F62" s="174"/>
      <c r="G62" s="174" t="s">
        <v>63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60" zoomScale="85" zoomScaleNormal="85" workbookViewId="0">
      <selection activeCell="D74" sqref="D74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511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402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403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404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620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620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511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428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K42" sqref="K42:L4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425781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425781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542</v>
      </c>
      <c r="C1" s="4"/>
      <c r="D1" s="4"/>
    </row>
    <row r="3" spans="2:20" ht="18.75">
      <c r="G3" s="257" t="s">
        <v>555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511</v>
      </c>
      <c r="D4" s="6" t="s">
        <v>2</v>
      </c>
      <c r="E4" s="6" t="s">
        <v>543</v>
      </c>
      <c r="F4" s="6" t="s">
        <v>557</v>
      </c>
      <c r="G4" s="6" t="s">
        <v>38</v>
      </c>
      <c r="H4" s="7" t="s">
        <v>598</v>
      </c>
      <c r="I4" s="7" t="s">
        <v>599</v>
      </c>
      <c r="J4" s="7" t="s">
        <v>600</v>
      </c>
      <c r="K4" s="7" t="s">
        <v>601</v>
      </c>
      <c r="L4" s="7" t="s">
        <v>602</v>
      </c>
      <c r="M4" s="7" t="s">
        <v>603</v>
      </c>
      <c r="N4" s="38" t="s">
        <v>77</v>
      </c>
    </row>
    <row r="5" spans="2:20" ht="26.25" thickBot="1">
      <c r="C5" s="9" t="s">
        <v>513</v>
      </c>
      <c r="D5" s="9" t="s">
        <v>46</v>
      </c>
      <c r="E5" s="9" t="s">
        <v>47</v>
      </c>
      <c r="F5" s="9" t="s">
        <v>556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554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554</v>
      </c>
      <c r="R7" s="23" t="s">
        <v>558</v>
      </c>
      <c r="T7" s="23" t="s">
        <v>559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554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560</v>
      </c>
      <c r="S9" s="23" t="s">
        <v>561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562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563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564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529</v>
      </c>
      <c r="D24" s="246"/>
      <c r="E24" s="246"/>
      <c r="F24" s="247"/>
      <c r="G24" s="442" t="s">
        <v>525</v>
      </c>
      <c r="H24" s="442"/>
      <c r="I24" s="442"/>
      <c r="J24" s="443"/>
      <c r="K24" s="444" t="s">
        <v>526</v>
      </c>
      <c r="L24" s="445"/>
      <c r="M24" s="446" t="s">
        <v>527</v>
      </c>
      <c r="N24" s="445"/>
      <c r="S24"/>
    </row>
    <row r="25" spans="3:21">
      <c r="C25" s="241" t="s">
        <v>528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515</v>
      </c>
      <c r="D26" s="233" t="s">
        <v>514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517</v>
      </c>
      <c r="D27" s="233" t="s">
        <v>519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516</v>
      </c>
      <c r="D28" s="237" t="s">
        <v>520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518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530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521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522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523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531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524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524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524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529</v>
      </c>
      <c r="D42" s="246"/>
      <c r="E42" s="246"/>
      <c r="F42" s="247"/>
      <c r="G42" s="442" t="s">
        <v>525</v>
      </c>
      <c r="H42" s="442"/>
      <c r="I42" s="442"/>
      <c r="J42" s="443"/>
      <c r="K42" s="444" t="s">
        <v>526</v>
      </c>
      <c r="L42" s="445"/>
      <c r="M42" s="446" t="s">
        <v>553</v>
      </c>
      <c r="N42" s="445"/>
      <c r="O42"/>
    </row>
    <row r="43" spans="3:20">
      <c r="C43" s="241" t="s">
        <v>545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515</v>
      </c>
      <c r="D44" s="233" t="s">
        <v>546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517</v>
      </c>
      <c r="D45" s="233" t="s">
        <v>547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516</v>
      </c>
      <c r="D46" s="237" t="s">
        <v>548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544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530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549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550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551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531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552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552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552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40625" defaultRowHeight="15"/>
  <cols>
    <col min="1" max="1" width="9.140625" style="23"/>
    <col min="2" max="2" width="14.28515625" style="23" customWidth="1"/>
    <col min="3" max="3" width="22.140625" style="23" bestFit="1" customWidth="1"/>
    <col min="4" max="4" width="37.7109375" style="23" bestFit="1" customWidth="1"/>
    <col min="5" max="5" width="16.28515625" style="23" bestFit="1" customWidth="1"/>
    <col min="6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595</v>
      </c>
      <c r="F2" s="92"/>
      <c r="G2" s="92"/>
      <c r="H2" s="22"/>
      <c r="I2" s="22"/>
      <c r="J2" s="22"/>
      <c r="K2" s="22"/>
      <c r="L2" s="22"/>
    </row>
    <row r="3" spans="2:12">
      <c r="B3" s="6" t="s">
        <v>511</v>
      </c>
      <c r="C3" s="6" t="s">
        <v>2</v>
      </c>
      <c r="D3" s="6" t="s">
        <v>543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450000000000003" customHeight="1" thickBot="1">
      <c r="B4" s="9" t="s">
        <v>512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22" t="str">
        <f>Processes!C32</f>
        <v>IE,National</v>
      </c>
      <c r="C13" s="22" t="str">
        <f>Processes!D32</f>
        <v>IMPBIOWPE_S1</v>
      </c>
      <c r="D13" s="22" t="str">
        <f>Processes!E32</f>
        <v>Import of Wood Pellets  - Step 1</v>
      </c>
      <c r="E13" s="22" t="str">
        <f>Commodities!$C$41</f>
        <v>BIOWPE</v>
      </c>
      <c r="F13" s="50">
        <f>'SEAI-AEA_BioData'!K$21</f>
        <v>10.652526989586319</v>
      </c>
      <c r="G13" s="50">
        <f>'SEAI-AEA_BioData'!L$21</f>
        <v>8.5029139199388553</v>
      </c>
      <c r="H13" s="50">
        <f>'SEAI-AEA_BioData'!M$21</f>
        <v>7.2847998471386255</v>
      </c>
      <c r="I13" s="50">
        <f>'SEAI-AEA_BioData'!N$21</f>
        <v>6.9504155918601311</v>
      </c>
      <c r="J13" s="50"/>
      <c r="K13" s="50"/>
      <c r="L13" s="22"/>
    </row>
    <row r="14" spans="2:12">
      <c r="B14" s="22" t="str">
        <f>Processes!C33</f>
        <v>IE,National</v>
      </c>
      <c r="C14" s="22" t="str">
        <f>Processes!D33</f>
        <v>IMPBIOWPE_S2</v>
      </c>
      <c r="D14" s="22" t="str">
        <f>Processes!E33</f>
        <v>Import of Wood Pellets  - Step 2</v>
      </c>
      <c r="E14" s="22" t="str">
        <f>Commodities!$C$41</f>
        <v>BIOWPE</v>
      </c>
      <c r="F14" s="50">
        <f>'SEAI-AEA_BioData'!K$42</f>
        <v>11.034680424190311</v>
      </c>
      <c r="G14" s="50">
        <f>'SEAI-AEA_BioData'!L$42</f>
        <v>9.0522594821820963</v>
      </c>
      <c r="H14" s="50">
        <f>'SEAI-AEA_BioData'!M$42</f>
        <v>8.0729913060093619</v>
      </c>
      <c r="I14" s="50">
        <f>'SEAI-AEA_BioData'!N$42</f>
        <v>7.9057991783701151</v>
      </c>
      <c r="J14" s="50"/>
      <c r="K14" s="50"/>
      <c r="L14" s="22"/>
    </row>
    <row r="15" spans="2:12">
      <c r="B15" s="22" t="str">
        <f>Processes!C34</f>
        <v>IE,National</v>
      </c>
      <c r="C15" s="22" t="str">
        <f>Processes!D34</f>
        <v>IMPBIOWPE_S3</v>
      </c>
      <c r="D15" s="22" t="str">
        <f>Processes!E34</f>
        <v>Import of Wood Pellets  - Step 3</v>
      </c>
      <c r="E15" s="22" t="str">
        <f>Commodities!$C$41</f>
        <v>BIOWPE</v>
      </c>
      <c r="F15" s="50">
        <f>'SEAI-AEA_BioData'!K$31</f>
        <v>12.27667908665329</v>
      </c>
      <c r="G15" s="50">
        <f>'SEAI-AEA_BioData'!L$31</f>
        <v>10.103181427343078</v>
      </c>
      <c r="H15" s="50">
        <f>'SEAI-AEA_BioData'!M$31</f>
        <v>8.9328365338683469</v>
      </c>
      <c r="I15" s="50">
        <f>'SEAI-AEA_BioData'!N$31</f>
        <v>8.7656444062291001</v>
      </c>
      <c r="J15" s="50"/>
      <c r="K15" s="50"/>
      <c r="L15" s="22"/>
    </row>
    <row r="16" spans="2:12">
      <c r="B16" s="39" t="str">
        <f>Processes!C35</f>
        <v>IE,National</v>
      </c>
      <c r="C16" s="39" t="str">
        <f>Processes!D35</f>
        <v>IMPBIOWPE_S4</v>
      </c>
      <c r="D16" s="39" t="str">
        <f>Processes!E35</f>
        <v>Import of Wood Pellets  - Step 4</v>
      </c>
      <c r="E16" s="39" t="str">
        <f>Commodities!$C$41</f>
        <v>BIOWPE</v>
      </c>
      <c r="F16" s="51">
        <f>'SEAI-AEA_BioData'!K$53</f>
        <v>12.778255469571032</v>
      </c>
      <c r="G16" s="51">
        <f>'SEAI-AEA_BioData'!L$53</f>
        <v>10.795834527562816</v>
      </c>
      <c r="H16" s="51">
        <f>'SEAI-AEA_BioData'!M$53</f>
        <v>9.9837584790293299</v>
      </c>
      <c r="I16" s="51">
        <f>'SEAI-AEA_BioData'!N$53</f>
        <v>10.055412248017578</v>
      </c>
      <c r="J16" s="51"/>
      <c r="K16" s="51"/>
      <c r="L16" s="39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511</v>
      </c>
      <c r="C23" s="6" t="s">
        <v>2</v>
      </c>
      <c r="D23" s="6" t="s">
        <v>543</v>
      </c>
      <c r="E23" s="6" t="s">
        <v>557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512</v>
      </c>
      <c r="C24" s="9" t="s">
        <v>59</v>
      </c>
      <c r="D24" s="9" t="s">
        <v>47</v>
      </c>
      <c r="E24" s="9" t="s">
        <v>566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565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596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511</v>
      </c>
      <c r="C28" s="6" t="s">
        <v>2</v>
      </c>
      <c r="D28" s="6" t="s">
        <v>543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15.75" thickBot="1">
      <c r="B29" s="9" t="s">
        <v>512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0">B13</f>
        <v>IE,National</v>
      </c>
      <c r="C30" s="43" t="str">
        <f t="shared" ref="C30:D30" si="1">C13</f>
        <v>IMPBIOWPE_S1</v>
      </c>
      <c r="D30" s="43" t="str">
        <f t="shared" si="1"/>
        <v>Import of Wood Pellets  - Step 1</v>
      </c>
      <c r="E30" s="22" t="str">
        <f>Commodities!$C$41</f>
        <v>BIOWPE</v>
      </c>
      <c r="F30" s="94">
        <f t="shared" ref="F30:F37" si="2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47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3">B14</f>
        <v>IE,National</v>
      </c>
      <c r="C31" s="21" t="str">
        <f t="shared" ref="C31:D31" si="4">C14</f>
        <v>IMPBIOWPE_S2</v>
      </c>
      <c r="D31" s="21" t="str">
        <f t="shared" si="4"/>
        <v>Import of Wood Pellets  - Step 2</v>
      </c>
      <c r="E31" s="22" t="str">
        <f>Commodities!$C$41</f>
        <v>BIOWPE</v>
      </c>
      <c r="F31" s="41">
        <f t="shared" si="2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48"/>
      <c r="N31" s="152"/>
      <c r="O31" s="149"/>
      <c r="P31" s="149"/>
      <c r="Q31" s="149"/>
    </row>
    <row r="32" spans="2:18">
      <c r="B32" s="21" t="str">
        <f t="shared" ref="B32" si="5">B15</f>
        <v>IE,National</v>
      </c>
      <c r="C32" s="21" t="str">
        <f t="shared" ref="C32:D32" si="6">C15</f>
        <v>IMPBIOWPE_S3</v>
      </c>
      <c r="D32" s="21" t="str">
        <f t="shared" si="6"/>
        <v>Import of Wood Pellets  - Step 3</v>
      </c>
      <c r="E32" s="22" t="str">
        <f>Commodities!$C$41</f>
        <v>BIOWPE</v>
      </c>
      <c r="F32" s="41">
        <f t="shared" si="2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48"/>
      <c r="M32" s="22"/>
    </row>
    <row r="33" spans="2:23">
      <c r="B33" s="45" t="str">
        <f t="shared" ref="B33" si="7">B16</f>
        <v>IE,National</v>
      </c>
      <c r="C33" s="45" t="str">
        <f t="shared" ref="C33:D33" si="8">C16</f>
        <v>IMPBIOWPE_S4</v>
      </c>
      <c r="D33" s="45" t="str">
        <f t="shared" si="8"/>
        <v>Import of Wood Pellets  - Step 4</v>
      </c>
      <c r="E33" s="39" t="str">
        <f>Commodities!$C$41</f>
        <v>BIOWPE</v>
      </c>
      <c r="F33" s="28">
        <f t="shared" si="2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48"/>
      <c r="M33" s="22"/>
    </row>
    <row r="34" spans="2:23">
      <c r="B34" s="95" t="str">
        <f t="shared" ref="B34" si="9">B17</f>
        <v>IE,National</v>
      </c>
      <c r="C34" s="95" t="str">
        <f t="shared" ref="C34:D34" si="10">C17</f>
        <v>IMPBIOWCH_S1</v>
      </c>
      <c r="D34" s="95" t="str">
        <f t="shared" si="10"/>
        <v>Import of Wood Chip  - Step 1</v>
      </c>
      <c r="E34" s="22" t="str">
        <f>Commodities!$C$42</f>
        <v>BIOWCH</v>
      </c>
      <c r="F34" s="96">
        <f t="shared" si="2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48"/>
      <c r="M34" s="22"/>
    </row>
    <row r="35" spans="2:23">
      <c r="B35" s="21" t="str">
        <f t="shared" ref="B35" si="11">B18</f>
        <v>IE,National</v>
      </c>
      <c r="C35" s="21" t="str">
        <f t="shared" ref="C35:D35" si="12">C18</f>
        <v>IMPBIOWCH_S2</v>
      </c>
      <c r="D35" s="21" t="str">
        <f t="shared" si="12"/>
        <v>Import of Wood Chip  - Step 2</v>
      </c>
      <c r="E35" s="22" t="str">
        <f>Commodities!$C$42</f>
        <v>BIOWCH</v>
      </c>
      <c r="F35" s="41">
        <f t="shared" si="2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48"/>
      <c r="M35" s="22"/>
    </row>
    <row r="36" spans="2:23">
      <c r="B36" s="21" t="str">
        <f t="shared" ref="B36" si="13">B19</f>
        <v>IE,National</v>
      </c>
      <c r="C36" s="21" t="str">
        <f t="shared" ref="C36:D36" si="14">C19</f>
        <v>IMPBIOWCH_S3</v>
      </c>
      <c r="D36" s="21" t="str">
        <f t="shared" si="14"/>
        <v>Import of Wood Chip  - Step 3</v>
      </c>
      <c r="E36" s="22" t="str">
        <f>Commodities!$C$42</f>
        <v>BIOWCH</v>
      </c>
      <c r="F36" s="41">
        <f t="shared" si="2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48"/>
      <c r="M36" s="22"/>
    </row>
    <row r="37" spans="2:23">
      <c r="B37" s="45" t="str">
        <f t="shared" ref="B37" si="15">B20</f>
        <v>IE,National</v>
      </c>
      <c r="C37" s="45" t="str">
        <f t="shared" ref="C37:D37" si="16">C20</f>
        <v>IMPBIOWCH_S4</v>
      </c>
      <c r="D37" s="45" t="str">
        <f t="shared" si="16"/>
        <v>Import of Wood Chip  - Step 4</v>
      </c>
      <c r="E37" s="39" t="str">
        <f>Commodities!$C$42</f>
        <v>BIOWCH</v>
      </c>
      <c r="F37" s="28">
        <f t="shared" si="2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49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511</v>
      </c>
      <c r="C41" s="6" t="s">
        <v>2</v>
      </c>
      <c r="D41" s="6" t="s">
        <v>543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15.75" thickBot="1">
      <c r="B42" s="8" t="s">
        <v>512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433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17">G43</f>
        <v>0.95614079147278108</v>
      </c>
      <c r="I43" s="52">
        <f t="shared" si="17"/>
        <v>0.95614079147278108</v>
      </c>
      <c r="J43" s="52">
        <f t="shared" si="17"/>
        <v>0.95614079147278108</v>
      </c>
      <c r="K43" s="52">
        <f t="shared" si="17"/>
        <v>0.95614079147278108</v>
      </c>
      <c r="L43" s="52">
        <f t="shared" si="17"/>
        <v>0.95614079147278108</v>
      </c>
      <c r="M43" s="52">
        <f t="shared" si="17"/>
        <v>0.95614079147278108</v>
      </c>
      <c r="N43" s="196">
        <v>5</v>
      </c>
      <c r="O43" s="61" t="s">
        <v>449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18">H43*2</f>
        <v>1.9122815829455622</v>
      </c>
      <c r="I44" s="50">
        <f t="shared" si="18"/>
        <v>1.9122815829455622</v>
      </c>
      <c r="J44" s="50">
        <f t="shared" si="18"/>
        <v>1.9122815829455622</v>
      </c>
      <c r="K44" s="50">
        <f t="shared" si="18"/>
        <v>1.9122815829455622</v>
      </c>
      <c r="L44" s="50">
        <f t="shared" si="18"/>
        <v>1.9122815829455622</v>
      </c>
      <c r="M44" s="50">
        <f t="shared" si="18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18"/>
        <v>3.8245631658911243</v>
      </c>
      <c r="I45" s="50">
        <f t="shared" si="18"/>
        <v>3.8245631658911243</v>
      </c>
      <c r="J45" s="50">
        <f t="shared" si="18"/>
        <v>3.8245631658911243</v>
      </c>
      <c r="K45" s="50">
        <f t="shared" si="18"/>
        <v>3.8245631658911243</v>
      </c>
      <c r="L45" s="50">
        <f t="shared" si="18"/>
        <v>3.8245631658911243</v>
      </c>
      <c r="M45" s="50">
        <f t="shared" si="18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19">J47</f>
        <v>59.810866344000004</v>
      </c>
      <c r="L47" s="53">
        <f t="shared" si="19"/>
        <v>59.810866344000004</v>
      </c>
      <c r="M47" s="53">
        <f t="shared" si="19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0">G48</f>
        <v>4.3883698143827266</v>
      </c>
      <c r="I48" s="52">
        <f t="shared" si="20"/>
        <v>4.3883698143827266</v>
      </c>
      <c r="J48" s="52">
        <f t="shared" si="20"/>
        <v>4.3883698143827266</v>
      </c>
      <c r="K48" s="52">
        <f t="shared" si="20"/>
        <v>4.3883698143827266</v>
      </c>
      <c r="L48" s="52">
        <f t="shared" si="20"/>
        <v>4.3883698143827266</v>
      </c>
      <c r="M48" s="52">
        <f t="shared" si="20"/>
        <v>4.3883698143827266</v>
      </c>
      <c r="N48" s="196">
        <v>5</v>
      </c>
      <c r="O48" s="61" t="s">
        <v>449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1">H48*2</f>
        <v>8.7767396287654531</v>
      </c>
      <c r="I49" s="50">
        <f t="shared" si="21"/>
        <v>8.7767396287654531</v>
      </c>
      <c r="J49" s="50">
        <f t="shared" si="21"/>
        <v>8.7767396287654531</v>
      </c>
      <c r="K49" s="50">
        <f t="shared" si="21"/>
        <v>8.7767396287654531</v>
      </c>
      <c r="L49" s="50">
        <f t="shared" si="21"/>
        <v>8.7767396287654531</v>
      </c>
      <c r="M49" s="50">
        <f t="shared" si="21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1"/>
        <v>17.553479257530906</v>
      </c>
      <c r="I50" s="50">
        <f t="shared" si="21"/>
        <v>17.553479257530906</v>
      </c>
      <c r="J50" s="50">
        <f t="shared" si="21"/>
        <v>17.553479257530906</v>
      </c>
      <c r="K50" s="50">
        <f t="shared" si="21"/>
        <v>17.553479257530906</v>
      </c>
      <c r="L50" s="50">
        <f t="shared" si="21"/>
        <v>17.553479257530906</v>
      </c>
      <c r="M50" s="50">
        <f t="shared" si="21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2">H52-SUM(H48:H50)</f>
        <v>72.040001193884791</v>
      </c>
      <c r="I51" s="51">
        <f t="shared" si="22"/>
        <v>72.040001193884791</v>
      </c>
      <c r="J51" s="51">
        <f t="shared" si="22"/>
        <v>72.040001193884791</v>
      </c>
      <c r="K51" s="51">
        <f t="shared" si="22"/>
        <v>72.040001193884791</v>
      </c>
      <c r="L51" s="51">
        <f t="shared" si="22"/>
        <v>72.040001193884791</v>
      </c>
      <c r="M51" s="51">
        <f t="shared" si="22"/>
        <v>72.040001193884791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3">
        <f>H52</f>
        <v>102.75858989456388</v>
      </c>
      <c r="H52" s="53">
        <f>I52</f>
        <v>102.75858989456388</v>
      </c>
      <c r="I52" s="53">
        <f>2727.05194883825*Conversions!$C$2*0.9</f>
        <v>102.75858989456388</v>
      </c>
      <c r="J52" s="53">
        <f>I52</f>
        <v>102.75858989456388</v>
      </c>
      <c r="K52" s="53">
        <f t="shared" ref="K52:M52" si="23">J52</f>
        <v>102.75858989456388</v>
      </c>
      <c r="L52" s="53">
        <f t="shared" si="23"/>
        <v>102.75858989456388</v>
      </c>
      <c r="M52" s="53">
        <f t="shared" si="23"/>
        <v>102.75858989456388</v>
      </c>
      <c r="N52" s="199"/>
      <c r="O52" s="64" t="s">
        <v>214</v>
      </c>
      <c r="P52" s="53"/>
      <c r="R52" s="25"/>
    </row>
    <row r="53" spans="2:18">
      <c r="B53" s="43" t="str">
        <f>Imports_Bio!B13</f>
        <v>IE,National</v>
      </c>
      <c r="C53" s="43" t="str">
        <f>Imports_Bio!C13</f>
        <v>IMPBIOWPE_S1</v>
      </c>
      <c r="D53" s="43" t="str">
        <f>Imports_Bio!D13</f>
        <v>Import of Wood Pellets  - Step 1</v>
      </c>
      <c r="E53" s="22" t="str">
        <f>Commodities!$C$41</f>
        <v>BIOWPE</v>
      </c>
      <c r="F53" s="146">
        <f>'EB2018'!AE3*Conversions!$C$2*Imports_Bio!$R$53</f>
        <v>0.71165055175994518</v>
      </c>
      <c r="G53" s="52">
        <f>MAX(F53:F53)</f>
        <v>0.71165055175994518</v>
      </c>
      <c r="H53" s="52">
        <f>G53</f>
        <v>0.71165055175994518</v>
      </c>
      <c r="I53" s="52">
        <f t="shared" ref="I53:M53" si="24">H53</f>
        <v>0.71165055175994518</v>
      </c>
      <c r="J53" s="52">
        <f t="shared" si="24"/>
        <v>0.71165055175994518</v>
      </c>
      <c r="K53" s="52">
        <f t="shared" si="24"/>
        <v>0.71165055175994518</v>
      </c>
      <c r="L53" s="52">
        <f t="shared" si="24"/>
        <v>0.71165055175994518</v>
      </c>
      <c r="M53" s="52">
        <f t="shared" si="24"/>
        <v>0.71165055175994518</v>
      </c>
      <c r="N53" s="196">
        <v>5</v>
      </c>
      <c r="O53" s="61" t="s">
        <v>218</v>
      </c>
      <c r="P53" s="52"/>
      <c r="R53" s="147">
        <v>0.7</v>
      </c>
    </row>
    <row r="54" spans="2:18">
      <c r="B54" s="21" t="str">
        <f>Imports_Bio!B14</f>
        <v>IE,National</v>
      </c>
      <c r="C54" s="21" t="str">
        <f>Imports_Bio!C14</f>
        <v>IMPBIOWPE_S2</v>
      </c>
      <c r="D54" s="21" t="str">
        <f>Imports_Bio!D14</f>
        <v>Import of Wood Pellets  - Step 2</v>
      </c>
      <c r="E54" s="22" t="str">
        <f>Commodities!$C$41</f>
        <v>BIOWPE</v>
      </c>
      <c r="F54" s="148">
        <v>0</v>
      </c>
      <c r="G54" s="50">
        <f>G53*2</f>
        <v>1.4233011035198904</v>
      </c>
      <c r="H54" s="50">
        <f t="shared" ref="H54:M55" si="25">H53*2</f>
        <v>1.4233011035198904</v>
      </c>
      <c r="I54" s="50">
        <f t="shared" si="25"/>
        <v>1.4233011035198904</v>
      </c>
      <c r="J54" s="50">
        <f t="shared" si="25"/>
        <v>1.4233011035198904</v>
      </c>
      <c r="K54" s="50">
        <f t="shared" si="25"/>
        <v>1.4233011035198904</v>
      </c>
      <c r="L54" s="50">
        <f t="shared" si="25"/>
        <v>1.4233011035198904</v>
      </c>
      <c r="M54" s="50">
        <f t="shared" si="25"/>
        <v>1.4233011035198904</v>
      </c>
      <c r="N54" s="197">
        <v>5</v>
      </c>
      <c r="O54" s="62" t="s">
        <v>215</v>
      </c>
      <c r="P54" s="50"/>
      <c r="R54" s="25"/>
    </row>
    <row r="55" spans="2:18">
      <c r="B55" s="21" t="str">
        <f>Imports_Bio!B15</f>
        <v>IE,National</v>
      </c>
      <c r="C55" s="21" t="str">
        <f>Imports_Bio!C15</f>
        <v>IMPBIOWPE_S3</v>
      </c>
      <c r="D55" s="21" t="str">
        <f>Imports_Bio!D15</f>
        <v>Import of Wood Pellets  - Step 3</v>
      </c>
      <c r="E55" s="22" t="str">
        <f>Commodities!$C$41</f>
        <v>BIOWPE</v>
      </c>
      <c r="F55" s="148">
        <v>0</v>
      </c>
      <c r="G55" s="50">
        <f>G54*2</f>
        <v>2.8466022070397807</v>
      </c>
      <c r="H55" s="50">
        <f t="shared" si="25"/>
        <v>2.8466022070397807</v>
      </c>
      <c r="I55" s="50">
        <f t="shared" si="25"/>
        <v>2.8466022070397807</v>
      </c>
      <c r="J55" s="50">
        <f t="shared" si="25"/>
        <v>2.8466022070397807</v>
      </c>
      <c r="K55" s="50">
        <f t="shared" si="25"/>
        <v>2.8466022070397807</v>
      </c>
      <c r="L55" s="50">
        <f t="shared" si="25"/>
        <v>2.8466022070397807</v>
      </c>
      <c r="M55" s="50">
        <f t="shared" si="25"/>
        <v>2.8466022070397807</v>
      </c>
      <c r="N55" s="197">
        <v>5</v>
      </c>
      <c r="O55" s="62" t="s">
        <v>216</v>
      </c>
      <c r="P55" s="50"/>
      <c r="R55" s="25"/>
    </row>
    <row r="56" spans="2:18">
      <c r="B56" s="45" t="str">
        <f>"*"&amp;Imports_Bio!B16</f>
        <v>*IE,National</v>
      </c>
      <c r="C56" s="45" t="str">
        <f>"*"&amp;Imports_Bio!C16</f>
        <v>*IMPBIOWPE_S4</v>
      </c>
      <c r="D56" s="45" t="str">
        <f>Imports_Bio!D16</f>
        <v>Import of Wood Pellets  - Step 4</v>
      </c>
      <c r="E56" s="39" t="str">
        <f>Commodities!$C$41</f>
        <v>BIOWPE</v>
      </c>
      <c r="F56" s="150">
        <v>0</v>
      </c>
      <c r="G56" s="51">
        <f>G57-SUM(G53:G55)</f>
        <v>105.16490614168039</v>
      </c>
      <c r="H56" s="51">
        <f t="shared" ref="H56:M56" si="26">H57-SUM(H53:H55)</f>
        <v>105.16490614168039</v>
      </c>
      <c r="I56" s="51">
        <f t="shared" si="26"/>
        <v>105.16490614168039</v>
      </c>
      <c r="J56" s="51">
        <f t="shared" si="26"/>
        <v>105.16490614168039</v>
      </c>
      <c r="K56" s="51">
        <f t="shared" si="26"/>
        <v>105.16490614168039</v>
      </c>
      <c r="L56" s="51">
        <f t="shared" si="26"/>
        <v>105.16490614168039</v>
      </c>
      <c r="M56" s="51">
        <f t="shared" si="26"/>
        <v>105.16490614168039</v>
      </c>
      <c r="N56" s="198">
        <v>5</v>
      </c>
      <c r="O56" s="63" t="s">
        <v>217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53"/>
      <c r="G57" s="53">
        <f>H57</f>
        <v>110.14646000400001</v>
      </c>
      <c r="H57" s="53">
        <f>I57</f>
        <v>110.14646000400001</v>
      </c>
      <c r="I57" s="53">
        <f>'SEAI-AEA_BioData'!G52*Conversions!$C$2/1000</f>
        <v>110.14646000400001</v>
      </c>
      <c r="J57" s="53">
        <f>I57</f>
        <v>110.14646000400001</v>
      </c>
      <c r="K57" s="53">
        <f t="shared" ref="K57:M57" si="27">J57</f>
        <v>110.14646000400001</v>
      </c>
      <c r="L57" s="53">
        <f t="shared" si="27"/>
        <v>110.14646000400001</v>
      </c>
      <c r="M57" s="53">
        <f t="shared" si="27"/>
        <v>110.14646000400001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28">H58</f>
        <v>0.30499309361140514</v>
      </c>
      <c r="J58" s="52">
        <f t="shared" si="28"/>
        <v>0.30499309361140514</v>
      </c>
      <c r="K58" s="52">
        <f t="shared" si="28"/>
        <v>0.30499309361140514</v>
      </c>
      <c r="L58" s="52">
        <f t="shared" si="28"/>
        <v>0.30499309361140514</v>
      </c>
      <c r="M58" s="52">
        <f t="shared" si="28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29">H58*2</f>
        <v>0.60998618722281028</v>
      </c>
      <c r="I59" s="50">
        <f t="shared" si="29"/>
        <v>0.60998618722281028</v>
      </c>
      <c r="J59" s="50">
        <f t="shared" si="29"/>
        <v>0.60998618722281028</v>
      </c>
      <c r="K59" s="50">
        <f t="shared" si="29"/>
        <v>0.60998618722281028</v>
      </c>
      <c r="L59" s="50">
        <f t="shared" si="29"/>
        <v>0.60998618722281028</v>
      </c>
      <c r="M59" s="50">
        <f t="shared" si="29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29"/>
        <v>1.2199723744456206</v>
      </c>
      <c r="I60" s="50">
        <f t="shared" si="29"/>
        <v>1.2199723744456206</v>
      </c>
      <c r="J60" s="50">
        <f t="shared" si="29"/>
        <v>1.2199723744456206</v>
      </c>
      <c r="K60" s="50">
        <f t="shared" si="29"/>
        <v>1.2199723744456206</v>
      </c>
      <c r="L60" s="50">
        <f t="shared" si="29"/>
        <v>1.2199723744456206</v>
      </c>
      <c r="M60" s="50">
        <f t="shared" si="29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0">H62-SUM(H58:H60)</f>
        <v>34.580521056720166</v>
      </c>
      <c r="I61" s="51">
        <f t="shared" si="30"/>
        <v>34.580521056720166</v>
      </c>
      <c r="J61" s="51">
        <f t="shared" si="30"/>
        <v>34.580521056720166</v>
      </c>
      <c r="K61" s="51">
        <f t="shared" si="30"/>
        <v>34.580521056720166</v>
      </c>
      <c r="L61" s="51">
        <f t="shared" si="30"/>
        <v>34.580521056720166</v>
      </c>
      <c r="M61" s="51">
        <f t="shared" si="30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J17" sqref="J17"/>
    </sheetView>
  </sheetViews>
  <sheetFormatPr defaultColWidth="9.140625" defaultRowHeight="15"/>
  <cols>
    <col min="2" max="2" width="12.5703125" customWidth="1"/>
    <col min="3" max="3" width="16.425781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597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511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431</v>
      </c>
      <c r="J3" s="12" t="s">
        <v>569</v>
      </c>
      <c r="K3" s="12" t="s">
        <v>570</v>
      </c>
      <c r="L3" s="12" t="s">
        <v>207</v>
      </c>
      <c r="M3" s="12" t="s">
        <v>208</v>
      </c>
    </row>
    <row r="4" spans="2:15" ht="15.75" thickBot="1">
      <c r="B4" s="9" t="s">
        <v>513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50" t="s">
        <v>223</v>
      </c>
      <c r="G9" s="450"/>
      <c r="H9" s="450"/>
      <c r="I9" s="192" t="s">
        <v>222</v>
      </c>
      <c r="J9" s="192" t="s">
        <v>575</v>
      </c>
      <c r="K9" s="192" t="s">
        <v>574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511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513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567</v>
      </c>
    </row>
    <row r="29" spans="2:15">
      <c r="B29" s="274" t="s">
        <v>573</v>
      </c>
      <c r="C29" s="272" t="s">
        <v>568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571</v>
      </c>
    </row>
    <row r="35" spans="2:3">
      <c r="B35" t="s">
        <v>572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425781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511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512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51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52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52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52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52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52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52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52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52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52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52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52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52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52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52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52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52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52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52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52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52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52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52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52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52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52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52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52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52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53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42578125" style="23" bestFit="1" customWidth="1"/>
    <col min="6" max="6" width="9.140625" style="23"/>
    <col min="7" max="20" width="9.42578125" style="25" customWidth="1"/>
    <col min="21" max="23" width="9.425781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597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511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429</v>
      </c>
      <c r="H3" s="109" t="s">
        <v>219</v>
      </c>
      <c r="I3" s="109" t="s">
        <v>432</v>
      </c>
      <c r="J3" s="109" t="s">
        <v>430</v>
      </c>
      <c r="K3" s="109" t="s">
        <v>431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451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425781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624</v>
      </c>
      <c r="H2" s="2"/>
      <c r="I2" s="2"/>
      <c r="J2" s="2"/>
      <c r="K2" s="2"/>
      <c r="L2" s="2"/>
    </row>
    <row r="3" spans="2:20">
      <c r="B3" s="11" t="s">
        <v>511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619</v>
      </c>
      <c r="H3" s="6" t="s">
        <v>618</v>
      </c>
      <c r="I3" s="6" t="s">
        <v>623</v>
      </c>
      <c r="J3" s="6" t="s">
        <v>622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625</v>
      </c>
      <c r="Q3" s="12" t="s">
        <v>626</v>
      </c>
      <c r="R3"/>
    </row>
    <row r="4" spans="2:20" ht="15.75" thickBot="1">
      <c r="B4" s="13" t="s">
        <v>513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50" t="s">
        <v>159</v>
      </c>
      <c r="H7" s="450"/>
      <c r="I7" s="450"/>
      <c r="J7" s="450"/>
      <c r="K7" s="450"/>
      <c r="L7" s="193" t="s">
        <v>67</v>
      </c>
      <c r="M7" s="192"/>
      <c r="N7" s="454" t="s">
        <v>220</v>
      </c>
      <c r="O7" s="454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F11"/>
  <sheetViews>
    <sheetView workbookViewId="0">
      <selection activeCell="F27" sqref="F27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6">
      <c r="A1" s="162" t="s">
        <v>266</v>
      </c>
      <c r="B1" s="162"/>
      <c r="C1" s="156"/>
      <c r="D1" s="156"/>
      <c r="E1" s="156"/>
    </row>
    <row r="4" spans="1:6">
      <c r="B4" s="1" t="s">
        <v>267</v>
      </c>
    </row>
    <row r="5" spans="1:6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6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6">
      <c r="B7" s="23" t="str">
        <f>Commodities!C64</f>
        <v>SUPCH4N</v>
      </c>
      <c r="C7" s="25"/>
      <c r="D7" s="25"/>
      <c r="E7" s="25"/>
    </row>
    <row r="8" spans="1:6">
      <c r="B8" s="23" t="str">
        <f>Commodities!C67</f>
        <v>SUPSO2N</v>
      </c>
      <c r="C8" s="25"/>
      <c r="D8" s="25"/>
      <c r="E8" s="25"/>
    </row>
    <row r="9" spans="1:6">
      <c r="B9" s="23" t="str">
        <f>Commodities!C71</f>
        <v>SUPNOXN</v>
      </c>
      <c r="C9" s="25"/>
      <c r="D9" s="25"/>
      <c r="E9" s="25"/>
    </row>
    <row r="10" spans="1:6">
      <c r="B10" s="23" t="str">
        <f>Commodities!C72</f>
        <v>SUPPM10</v>
      </c>
    </row>
    <row r="11" spans="1:6">
      <c r="B11" s="23" t="str">
        <f>Commodities!C73</f>
        <v>SUPPM25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5"/>
  <cols>
    <col min="1" max="1" width="20.42578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55" t="s">
        <v>88</v>
      </c>
      <c r="Q1" s="455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N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 t="shared" si="8"/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 t="shared" si="9"/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536</v>
      </c>
      <c r="B1" s="66"/>
    </row>
    <row r="2" spans="1:5">
      <c r="A2" s="23" t="s">
        <v>93</v>
      </c>
      <c r="B2" s="25" t="s">
        <v>535</v>
      </c>
      <c r="C2" s="23">
        <v>4.1868000000000002E-2</v>
      </c>
      <c r="D2" s="23" t="s">
        <v>10</v>
      </c>
    </row>
    <row r="3" spans="1:5">
      <c r="A3" s="23" t="s">
        <v>532</v>
      </c>
      <c r="B3" s="25" t="s">
        <v>535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535</v>
      </c>
      <c r="C4" s="23">
        <v>7.33</v>
      </c>
      <c r="D4" s="23" t="s">
        <v>533</v>
      </c>
      <c r="E4" s="255"/>
    </row>
    <row r="5" spans="1:5">
      <c r="A5" s="23" t="s">
        <v>534</v>
      </c>
      <c r="B5" s="25" t="s">
        <v>535</v>
      </c>
      <c r="C5" s="23">
        <f>C2/C4*1000</f>
        <v>5.7118690313778995</v>
      </c>
      <c r="D5" s="23" t="s">
        <v>90</v>
      </c>
    </row>
    <row r="9" spans="1:5">
      <c r="A9" s="66" t="s">
        <v>537</v>
      </c>
    </row>
    <row r="10" spans="1:5">
      <c r="A10" s="23" t="s">
        <v>538</v>
      </c>
      <c r="B10" s="25" t="s">
        <v>535</v>
      </c>
      <c r="C10" s="23">
        <v>1.1194745098039223</v>
      </c>
      <c r="D10" s="23" t="s">
        <v>539</v>
      </c>
    </row>
    <row r="11" spans="1:5">
      <c r="A11" s="23" t="s">
        <v>540</v>
      </c>
      <c r="B11" s="25" t="s">
        <v>535</v>
      </c>
      <c r="C11" s="23">
        <v>1.1809545098039216</v>
      </c>
      <c r="D11" s="23" t="s">
        <v>541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Olexandr Balyk</cp:lastModifiedBy>
  <dcterms:created xsi:type="dcterms:W3CDTF">2016-02-04T10:21:59Z</dcterms:created>
  <dcterms:modified xsi:type="dcterms:W3CDTF">2023-12-21T19:27:06Z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344947457313537</vt:r8>
  </property>
</Properties>
</file>