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5" yWindow="1365" windowWidth="17940" windowHeight="9855"/>
  </bookViews>
  <sheets>
    <sheet name="TRA_Passenger" sheetId="9" r:id="rId1"/>
    <sheet name="TRA_Freight" sheetId="11" r:id="rId2"/>
  </sheets>
  <externalReferences>
    <externalReference r:id="rId3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B40" i="9" l="1"/>
  <c r="C80" i="9"/>
  <c r="I39" i="11"/>
  <c r="I38" i="11"/>
  <c r="I36" i="11"/>
  <c r="I35" i="11"/>
  <c r="I30" i="11"/>
  <c r="I29" i="11"/>
  <c r="I28" i="11"/>
  <c r="I24" i="11"/>
  <c r="I23" i="11"/>
  <c r="I18" i="11"/>
  <c r="I17" i="11"/>
  <c r="I15" i="11"/>
  <c r="I14" i="11"/>
  <c r="I12" i="11"/>
  <c r="I11" i="11"/>
  <c r="I54" i="9"/>
  <c r="I53" i="9"/>
  <c r="I50" i="9"/>
  <c r="I51" i="9"/>
  <c r="I48" i="9"/>
  <c r="I47" i="9"/>
  <c r="I42" i="9"/>
  <c r="I41" i="9"/>
  <c r="I39" i="9"/>
  <c r="I38" i="9"/>
  <c r="I36" i="9"/>
  <c r="I35" i="9"/>
  <c r="I33" i="9"/>
  <c r="I32" i="9"/>
  <c r="I30" i="9"/>
  <c r="I29" i="9"/>
  <c r="I26" i="9"/>
  <c r="I25" i="9"/>
  <c r="I27" i="9"/>
  <c r="I22" i="9"/>
  <c r="I24" i="9"/>
  <c r="I23" i="9"/>
  <c r="I21" i="9"/>
  <c r="I17" i="9"/>
  <c r="I15" i="9"/>
  <c r="I14" i="9"/>
  <c r="I12" i="9"/>
  <c r="I11" i="9"/>
  <c r="B13" i="11"/>
  <c r="C56" i="11"/>
  <c r="B31" i="11"/>
  <c r="B46" i="9"/>
  <c r="C82" i="9"/>
  <c r="B43" i="9"/>
  <c r="C81" i="9"/>
  <c r="D55" i="11"/>
  <c r="D56" i="11"/>
  <c r="D57" i="11"/>
  <c r="D58" i="11"/>
  <c r="D59" i="11"/>
  <c r="D60" i="11"/>
  <c r="D61" i="11"/>
  <c r="D62" i="11"/>
  <c r="D63" i="11"/>
  <c r="D64" i="11"/>
  <c r="C64" i="11"/>
  <c r="C63" i="11"/>
  <c r="I33" i="11"/>
  <c r="I32" i="11"/>
  <c r="C62" i="11"/>
  <c r="B28" i="11"/>
  <c r="C61" i="11"/>
  <c r="I25" i="11"/>
  <c r="I26" i="11"/>
  <c r="B25" i="11"/>
  <c r="C60" i="11"/>
  <c r="B22" i="11"/>
  <c r="C59" i="11"/>
  <c r="I19" i="11"/>
  <c r="I21" i="11"/>
  <c r="I20" i="11"/>
  <c r="B19" i="11"/>
  <c r="C58" i="11"/>
  <c r="B16" i="11"/>
  <c r="C57" i="11"/>
  <c r="B10" i="11"/>
  <c r="C55" i="11"/>
  <c r="D81" i="9"/>
  <c r="D82" i="9"/>
  <c r="D83" i="9"/>
  <c r="D84" i="9"/>
  <c r="C84" i="9"/>
  <c r="C83" i="9"/>
  <c r="I45" i="9"/>
  <c r="I44" i="9"/>
  <c r="D79" i="9"/>
  <c r="D80" i="9"/>
  <c r="B37" i="9"/>
  <c r="C79" i="9"/>
  <c r="D75" i="9"/>
  <c r="D76" i="9"/>
  <c r="D77" i="9"/>
  <c r="D78" i="9"/>
  <c r="I34" i="9"/>
  <c r="B34" i="9"/>
  <c r="C78" i="9"/>
  <c r="B31" i="9"/>
  <c r="C77" i="9"/>
  <c r="I28" i="9"/>
  <c r="B28" i="9"/>
  <c r="C76" i="9"/>
  <c r="B25" i="9"/>
  <c r="C75" i="9"/>
  <c r="D70" i="9"/>
  <c r="D71" i="9"/>
  <c r="D72" i="9"/>
  <c r="D73" i="9"/>
  <c r="D74" i="9"/>
  <c r="B22" i="9"/>
  <c r="C74" i="9"/>
  <c r="B19" i="9"/>
  <c r="C73" i="9"/>
  <c r="I16" i="9"/>
  <c r="I18" i="9"/>
  <c r="B16" i="9"/>
  <c r="C72" i="9"/>
  <c r="B13" i="9"/>
  <c r="C71" i="9"/>
  <c r="B10" i="9"/>
  <c r="C70" i="9"/>
  <c r="I27" i="11"/>
</calcChain>
</file>

<file path=xl/comments1.xml><?xml version="1.0" encoding="utf-8"?>
<comments xmlns="http://schemas.openxmlformats.org/spreadsheetml/2006/main">
  <authors>
    <author>Author</author>
  </authors>
  <commentList>
    <comment ref="B6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61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61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61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61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8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8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9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6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6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6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6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6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53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3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4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<sst xmlns="http://schemas.openxmlformats.org/spreadsheetml/2006/main" count="439" uniqueCount="126">
  <si>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</si>
  <si>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</si>
  <si>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</si>
  <si>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</si>
  <si>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</si>
  <si>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</si>
  <si>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</si>
  <si>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</si>
  <si>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</si>
  <si>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</si>
  <si>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</si>
  <si>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</si>
  <si>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</si>
  <si>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</si>
  <si>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</si>
  <si>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</si>
  <si>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</si>
  <si>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</si>
  <si>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</si>
  <si>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</si>
  <si>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</si>
  <si>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</si>
  <si>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</si>
  <si>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</si>
  <si>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</si>
  <si>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</si>
  <si>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</si>
  <si>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</si>
  <si>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</si>
  <si>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</si>
  <si>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</si>
  <si>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</si>
  <si>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</si>
  <si>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</si>
  <si>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</si>
  <si>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</si>
  <si>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</si>
  <si>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</si>
  <si>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</si>
  <si>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</si>
  <si>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</si>
  <si>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</si>
  <si>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</si>
  <si>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</si>
  <si>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</si>
  <si>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Starting Year</t>
  </si>
  <si>
    <t>Investment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</si>
  <si>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</si>
  <si>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</si>
  <si>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</si>
  <si>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</si>
  <si>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</si>
  <si>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</si>
  <si>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</si>
  <si>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</si>
  <si>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NCAP_TLIFE</t>
  </si>
  <si>
    <t>NCAP_AFA</t>
  </si>
  <si>
    <t>ACT_COST</t>
  </si>
  <si>
    <t>NCAP_COST</t>
  </si>
  <si>
    <t>Technical Efficiency</t>
  </si>
  <si>
    <t>START</t>
  </si>
  <si>
    <t>~PRCCOMEMI</t>
  </si>
  <si>
    <t>Transport Passengers Car - Diesel Engine - New</t>
  </si>
  <si>
    <t>Transport Passengers Car - Otto Engine - New</t>
  </si>
  <si>
    <t>Transport Passengers Car - Gas Engine - New</t>
  </si>
  <si>
    <t>Transport Passengers Car - Battery Electric Vehicle - New</t>
  </si>
  <si>
    <t>Transport Passengers Car - Hydrogen Fuel-cell Electric Vehicle - New</t>
  </si>
  <si>
    <t>TRADSL</t>
  </si>
  <si>
    <t>TRAGSL</t>
  </si>
  <si>
    <t>TRANGA</t>
  </si>
  <si>
    <t>TRAELC</t>
  </si>
  <si>
    <t>TRAH2G</t>
  </si>
  <si>
    <t>TPC</t>
  </si>
  <si>
    <t>MEUR2012</t>
  </si>
  <si>
    <t>Mpass-km</t>
  </si>
  <si>
    <t>kvehicles</t>
  </si>
  <si>
    <t>DMD</t>
  </si>
  <si>
    <t>TPB</t>
  </si>
  <si>
    <t>TPR</t>
  </si>
  <si>
    <t>Transport Passengers Aviation National- Kerosene - New</t>
  </si>
  <si>
    <t>TRAKER</t>
  </si>
  <si>
    <t>TPAN</t>
  </si>
  <si>
    <t>TPAI</t>
  </si>
  <si>
    <t>TPSNDSL1N</t>
  </si>
  <si>
    <t>Transport Passengers Ship National- Diesel - New</t>
  </si>
  <si>
    <t>TPSN</t>
  </si>
  <si>
    <t>TPSIHFO1N</t>
  </si>
  <si>
    <t>Transport Passengers Ship International- Heavy fuel oil - New</t>
  </si>
  <si>
    <t>TRAHFO</t>
  </si>
  <si>
    <t>TPSI</t>
  </si>
  <si>
    <t>yes</t>
  </si>
  <si>
    <t>Years</t>
  </si>
  <si>
    <t>M€/kvehicle</t>
  </si>
  <si>
    <t>M€/(kvehicle*km)</t>
  </si>
  <si>
    <t>Passengers/vehicle</t>
  </si>
  <si>
    <t>Transport Freight Train - Electric - New</t>
  </si>
  <si>
    <t>TFR</t>
  </si>
  <si>
    <t>Transport Freight Train - Diesel Engine - New</t>
  </si>
  <si>
    <t>Transport Freight Truck - Diesel Engine - New</t>
  </si>
  <si>
    <t>TFT</t>
  </si>
  <si>
    <t>Transport Freight Truck - Gas Engine - New</t>
  </si>
  <si>
    <t>Transport Freight Van - Diesel Engine - New</t>
  </si>
  <si>
    <t>TFV</t>
  </si>
  <si>
    <t>Transport Freight Van - Otto Engine - New</t>
  </si>
  <si>
    <t>Transport Freight Van - Electricity - New</t>
  </si>
  <si>
    <t>Transport Freight Air International - Kerosene - New</t>
  </si>
  <si>
    <t>TFAI</t>
  </si>
  <si>
    <t>TFSNDSL1N</t>
  </si>
  <si>
    <t>Transport Freight Ship National- Diesel - New</t>
  </si>
  <si>
    <t>TFSN</t>
  </si>
  <si>
    <t>TFSIHFO1N</t>
  </si>
  <si>
    <t>Transport Freight Ship International- Heavy Fuel Oil - New</t>
  </si>
  <si>
    <t>TFSI</t>
  </si>
  <si>
    <t>tons/vehicle</t>
  </si>
  <si>
    <t>Mton-km</t>
  </si>
  <si>
    <t>Transport Passengers Aviation International - Kerosene - New</t>
  </si>
  <si>
    <t>Occupancy factor</t>
  </si>
  <si>
    <t>Load factor</t>
  </si>
  <si>
    <t>km</t>
  </si>
  <si>
    <t>PRC_ACTFLO~DEMO~2012</t>
  </si>
  <si>
    <t>Transport Passengers Buses - Electric - New</t>
  </si>
  <si>
    <t>Transport Passengers Buses - Diesel Hybrid - New</t>
  </si>
  <si>
    <t>Transport Passengers Buses - Diesel Engine - New</t>
  </si>
  <si>
    <t>Transport Passengers Buses - Gas Engine - New</t>
  </si>
  <si>
    <t>Transport Passengers Rail - Electric - New</t>
  </si>
  <si>
    <t>Transport Passengers Rail - Diesel Engine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</si>
</sst>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0.00000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3" fillId="3" borderId="3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0" fillId="4" borderId="0" xfId="0" applyFill="1"/>
    <xf numFmtId="0" fontId="8" fillId="0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 wrapText="1"/>
    </xf>
    <xf numFmtId="0" fontId="3" fillId="4" borderId="0" xfId="0" applyFont="1" applyFill="1"/>
    <xf numFmtId="0" fontId="6" fillId="2" borderId="2" xfId="0" applyFont="1" applyFill="1" applyBorder="1" applyAlignment="1">
      <alignment vertical="center"/>
    </xf>
    <xf numFmtId="0" fontId="3" fillId="3" borderId="3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/>
    </xf>
    <xf numFmtId="2" fontId="0" fillId="4" borderId="0" xfId="0" applyNumberFormat="1" applyFill="1"/>
    <xf numFmtId="0" fontId="0" fillId="4" borderId="5" xfId="0" applyFill="1" applyBorder="1"/>
    <xf numFmtId="2" fontId="0" fillId="4" borderId="5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187" fontId="0" fillId="4" borderId="0" xfId="0" applyNumberFormat="1" applyFill="1"/>
    <xf numFmtId="187" fontId="0" fillId="4" borderId="5" xfId="0" applyNumberFormat="1" applyFill="1" applyBorder="1"/>
    <xf numFmtId="187" fontId="0" fillId="4" borderId="0" xfId="0" applyNumberFormat="1" applyFill="1" applyBorder="1"/>
    <xf numFmtId="187" fontId="0" fillId="4" borderId="2" xfId="0" applyNumberFormat="1" applyFill="1" applyBorder="1"/>
    <xf numFmtId="1" fontId="0" fillId="4" borderId="0" xfId="0" applyNumberFormat="1" applyFill="1"/>
    <xf numFmtId="1" fontId="0" fillId="4" borderId="5" xfId="0" applyNumberFormat="1" applyFill="1" applyBorder="1"/>
    <xf numFmtId="1" fontId="0" fillId="4" borderId="0" xfId="0" applyNumberFormat="1" applyFill="1" applyBorder="1"/>
    <xf numFmtId="1" fontId="0" fillId="4" borderId="2" xfId="0" applyNumberFormat="1" applyFill="1" applyBorder="1"/>
    <xf numFmtId="2" fontId="3" fillId="4" borderId="5" xfId="0" applyNumberFormat="1" applyFont="1" applyFill="1" applyBorder="1"/>
  </cellXfs>
  <cellStyles count="4">
    <cellStyle name="Normal" xfId="0" builtinId="0"/>
    <cellStyle name="Normal 10" xfId="1"/>
    <cellStyle name="Normal 10 3" xfId="2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97"/>
  <sheetViews>
    <sheetView tabSelected="1" topLeftCell="B1" zoomScale="90" zoomScaleNormal="90" workbookViewId="0">
      <selection activeCell="L56" sqref="L56"/>
    </sheetView>
  </sheetViews>
  <sheetFormatPr defaultRowHeight="12.75" x14ac:dyDescent="0.2"/>
  <cols>
    <col min="1" max="1" width="2.85546875" customWidth="1"/>
    <col min="2" max="2" width="19.140625" customWidth="1"/>
    <col min="3" max="3" width="50.7109375" customWidth="1"/>
    <col min="4" max="4" width="10.140625" customWidth="1"/>
    <col min="5" max="5" width="11.85546875" customWidth="1"/>
    <col min="6" max="6" width="10" customWidth="1"/>
    <col min="7" max="7" width="11.42578125" customWidth="1"/>
    <col min="8" max="8" width="8.140625" customWidth="1"/>
    <col min="9" max="9" width="8.7109375" bestFit="1" customWidth="1"/>
    <col min="10" max="11" width="12.140625" bestFit="1" customWidth="1"/>
    <col min="12" max="12" width="15.140625" bestFit="1" customWidth="1"/>
    <col min="13" max="13" width="11.5703125" customWidth="1"/>
    <col min="14" max="14" width="24" customWidth="1"/>
    <col min="15" max="15" width="12.28515625" customWidth="1"/>
    <col min="16" max="16" width="13.85546875" customWidth="1"/>
    <col min="17" max="17" width="11.42578125" customWidth="1"/>
    <col min="18" max="19" width="10.5703125" bestFit="1" customWidth="1"/>
    <col min="20" max="20" width="13.85546875" customWidth="1"/>
    <col min="21" max="21" width="13.140625" bestFit="1" customWidth="1"/>
  </cols>
  <sheetData>
    <row r="2" spans="2:18" ht="23.25" x14ac:dyDescent="0.35">
      <c r="B2" s="21" t="s">
        <v>49</v>
      </c>
    </row>
    <row r="3" spans="2:18" ht="15.75" x14ac:dyDescent="0.25">
      <c r="B3" s="20"/>
    </row>
    <row r="4" spans="2:18" ht="15.75" x14ac:dyDescent="0.25">
      <c r="B4" s="20"/>
    </row>
    <row r="5" spans="2:18" x14ac:dyDescent="0.2">
      <c r="F5" s="2"/>
      <c r="G5" s="2"/>
      <c r="H5" s="1"/>
      <c r="I5" s="1"/>
      <c r="J5" s="1"/>
      <c r="K5" s="3"/>
    </row>
    <row r="6" spans="2:18" ht="18" x14ac:dyDescent="0.25">
      <c r="B6" s="19" t="s">
        <v>48</v>
      </c>
      <c r="E6" s="1"/>
      <c r="G6" s="4" t="s">
        <v>0</v>
      </c>
      <c r="H6" s="1"/>
      <c r="I6" s="1"/>
      <c r="J6" s="1"/>
      <c r="K6" s="3"/>
    </row>
    <row r="7" spans="2:18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53</v>
      </c>
      <c r="G7" s="17" t="s">
        <v>51</v>
      </c>
      <c r="H7" s="17" t="s">
        <v>60</v>
      </c>
      <c r="I7" s="17" t="s">
        <v>15</v>
      </c>
      <c r="J7" s="17" t="s">
        <v>55</v>
      </c>
      <c r="K7" s="17" t="s">
        <v>58</v>
      </c>
      <c r="L7" s="17" t="s">
        <v>57</v>
      </c>
      <c r="M7" s="17" t="s">
        <v>56</v>
      </c>
      <c r="N7" s="17" t="s">
        <v>119</v>
      </c>
    </row>
    <row r="8" spans="2:18" s="3" customFormat="1" ht="51.75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54</v>
      </c>
      <c r="G8" s="18" t="s">
        <v>52</v>
      </c>
      <c r="H8" s="18" t="s">
        <v>45</v>
      </c>
      <c r="I8" s="18" t="s">
        <v>59</v>
      </c>
      <c r="J8" s="18" t="s">
        <v>44</v>
      </c>
      <c r="K8" s="18" t="s">
        <v>46</v>
      </c>
      <c r="L8" s="18" t="s">
        <v>47</v>
      </c>
      <c r="M8" s="18" t="s">
        <v>43</v>
      </c>
      <c r="N8" s="18" t="s">
        <v>116</v>
      </c>
      <c r="O8"/>
      <c r="P8"/>
      <c r="Q8"/>
      <c r="R8"/>
    </row>
    <row r="9" spans="2:18" s="3" customFormat="1" ht="13.5" thickBot="1" x14ac:dyDescent="0.25">
      <c r="B9" s="22" t="s">
        <v>50</v>
      </c>
      <c r="C9" s="23"/>
      <c r="D9" s="23"/>
      <c r="E9" s="22"/>
      <c r="F9" s="23"/>
      <c r="G9" s="23"/>
      <c r="H9" s="22" t="s">
        <v>54</v>
      </c>
      <c r="I9" s="22"/>
      <c r="J9" s="22" t="s">
        <v>91</v>
      </c>
      <c r="K9" s="22" t="s">
        <v>92</v>
      </c>
      <c r="L9" s="22" t="s">
        <v>93</v>
      </c>
      <c r="M9" s="22" t="s">
        <v>118</v>
      </c>
      <c r="N9" s="22" t="s">
        <v>94</v>
      </c>
      <c r="O9"/>
      <c r="P9"/>
      <c r="Q9"/>
      <c r="R9"/>
    </row>
    <row r="10" spans="2:18" ht="12.95" customHeight="1" x14ac:dyDescent="0.2">
      <c r="B10" s="11" t="str">
        <f>LEFT(E10,4)&amp;RIGHT(D10,3)&amp;"1N"</f>
        <v>TPCDSL1N</v>
      </c>
      <c r="C10" s="11" t="s">
        <v>62</v>
      </c>
      <c r="D10" s="11" t="s">
        <v>67</v>
      </c>
      <c r="E10" s="11" t="s">
        <v>72</v>
      </c>
      <c r="F10" s="11">
        <v>2015</v>
      </c>
      <c r="G10" s="11" t="s">
        <v>73</v>
      </c>
      <c r="H10" s="11">
        <v>2015</v>
      </c>
      <c r="I10" s="24">
        <v>296</v>
      </c>
      <c r="J10" s="11">
        <v>12</v>
      </c>
      <c r="K10" s="24">
        <v>21.362726000000002</v>
      </c>
      <c r="L10" s="31">
        <v>4.655E-5</v>
      </c>
      <c r="M10" s="35">
        <v>15236.082406806019</v>
      </c>
      <c r="N10" s="24">
        <v>1.55</v>
      </c>
    </row>
    <row r="11" spans="2:18" ht="12.95" customHeight="1" x14ac:dyDescent="0.2">
      <c r="B11" s="27"/>
      <c r="C11" s="27"/>
      <c r="D11" s="27"/>
      <c r="E11" s="27" t="s">
        <v>72</v>
      </c>
      <c r="F11" s="27">
        <v>2020</v>
      </c>
      <c r="G11" s="27" t="s">
        <v>73</v>
      </c>
      <c r="H11" s="27"/>
      <c r="I11" s="28">
        <f>I10*1.22</f>
        <v>361.12</v>
      </c>
      <c r="J11" s="27"/>
      <c r="K11" s="28"/>
      <c r="L11" s="33"/>
      <c r="M11" s="35"/>
      <c r="N11" s="28"/>
    </row>
    <row r="12" spans="2:18" ht="12.95" customHeight="1" x14ac:dyDescent="0.2">
      <c r="B12" s="27"/>
      <c r="C12" s="27"/>
      <c r="D12" s="27"/>
      <c r="E12" s="27" t="s">
        <v>72</v>
      </c>
      <c r="F12" s="27">
        <v>2035</v>
      </c>
      <c r="G12" s="11" t="s">
        <v>73</v>
      </c>
      <c r="H12" s="27"/>
      <c r="I12" s="28">
        <f>I10*1.3</f>
        <v>384.8</v>
      </c>
      <c r="J12" s="27"/>
      <c r="K12" s="28"/>
      <c r="L12" s="33"/>
      <c r="M12" s="35"/>
      <c r="N12" s="28"/>
    </row>
    <row r="13" spans="2:18" ht="12.95" customHeight="1" x14ac:dyDescent="0.2">
      <c r="B13" s="11" t="str">
        <f>LEFT(E13,4)&amp;RIGHT(D13,3)&amp;"1N"</f>
        <v>TPCGSL1N</v>
      </c>
      <c r="C13" s="11" t="s">
        <v>63</v>
      </c>
      <c r="D13" s="11" t="s">
        <v>68</v>
      </c>
      <c r="E13" s="11" t="s">
        <v>72</v>
      </c>
      <c r="F13" s="11">
        <v>2015</v>
      </c>
      <c r="G13" s="27" t="s">
        <v>73</v>
      </c>
      <c r="H13" s="11">
        <v>2015</v>
      </c>
      <c r="I13" s="24">
        <v>427.43</v>
      </c>
      <c r="J13" s="11">
        <v>12</v>
      </c>
      <c r="K13" s="24">
        <v>19.381026000000002</v>
      </c>
      <c r="L13" s="31">
        <v>4.655E-5</v>
      </c>
      <c r="M13" s="35">
        <v>15236.082406806019</v>
      </c>
      <c r="N13" s="28">
        <v>1.55</v>
      </c>
    </row>
    <row r="14" spans="2:18" ht="12.95" customHeight="1" x14ac:dyDescent="0.2">
      <c r="B14" s="11"/>
      <c r="C14" s="11"/>
      <c r="D14" s="11"/>
      <c r="E14" s="11" t="s">
        <v>72</v>
      </c>
      <c r="F14" s="27">
        <v>2020</v>
      </c>
      <c r="G14" s="11" t="s">
        <v>73</v>
      </c>
      <c r="H14" s="11"/>
      <c r="I14" s="24">
        <f>I13*1.29</f>
        <v>551.38470000000007</v>
      </c>
      <c r="J14" s="11"/>
      <c r="K14" s="24"/>
      <c r="L14" s="31"/>
      <c r="M14" s="35"/>
      <c r="N14" s="28"/>
    </row>
    <row r="15" spans="2:18" ht="12.95" customHeight="1" x14ac:dyDescent="0.2">
      <c r="B15" s="11"/>
      <c r="C15" s="11"/>
      <c r="D15" s="11"/>
      <c r="E15" s="11" t="s">
        <v>72</v>
      </c>
      <c r="F15" s="27">
        <v>2035</v>
      </c>
      <c r="G15" s="27" t="s">
        <v>73</v>
      </c>
      <c r="H15" s="11"/>
      <c r="I15" s="24">
        <f>I13*1.29</f>
        <v>551.38470000000007</v>
      </c>
      <c r="J15" s="11"/>
      <c r="K15" s="24"/>
      <c r="L15" s="31"/>
      <c r="M15" s="35"/>
      <c r="N15" s="28"/>
    </row>
    <row r="16" spans="2:18" ht="12.95" customHeight="1" x14ac:dyDescent="0.2">
      <c r="B16" s="11" t="str">
        <f>LEFT(E16,4)&amp;RIGHT(D16,3)&amp;"1N"</f>
        <v>TPCNGA1N</v>
      </c>
      <c r="C16" s="11" t="s">
        <v>64</v>
      </c>
      <c r="D16" s="11" t="s">
        <v>69</v>
      </c>
      <c r="E16" s="11" t="s">
        <v>72</v>
      </c>
      <c r="F16" s="11">
        <v>2015</v>
      </c>
      <c r="G16" s="11" t="s">
        <v>73</v>
      </c>
      <c r="H16" s="11">
        <v>2015</v>
      </c>
      <c r="I16" s="24">
        <f>I13</f>
        <v>427.43</v>
      </c>
      <c r="J16" s="11">
        <v>12</v>
      </c>
      <c r="K16" s="24">
        <v>21.316175999999999</v>
      </c>
      <c r="L16" s="31">
        <v>4.655E-5</v>
      </c>
      <c r="M16" s="35">
        <v>15236.082406806019</v>
      </c>
      <c r="N16" s="28">
        <v>1.55</v>
      </c>
    </row>
    <row r="17" spans="2:14" ht="12.95" customHeight="1" x14ac:dyDescent="0.2">
      <c r="B17" s="11"/>
      <c r="C17" s="11"/>
      <c r="D17" s="11"/>
      <c r="E17" s="11" t="s">
        <v>72</v>
      </c>
      <c r="F17" s="27">
        <v>2020</v>
      </c>
      <c r="G17" s="27" t="s">
        <v>73</v>
      </c>
      <c r="H17" s="11"/>
      <c r="I17" s="24">
        <f>I16*1.19</f>
        <v>508.64169999999996</v>
      </c>
      <c r="J17" s="11"/>
      <c r="K17" s="24"/>
      <c r="L17" s="31"/>
      <c r="M17" s="35"/>
      <c r="N17" s="28"/>
    </row>
    <row r="18" spans="2:14" ht="12.95" customHeight="1" x14ac:dyDescent="0.2">
      <c r="B18" s="11"/>
      <c r="C18" s="11"/>
      <c r="D18" s="11"/>
      <c r="E18" s="11" t="s">
        <v>72</v>
      </c>
      <c r="F18" s="27">
        <v>2035</v>
      </c>
      <c r="G18" s="11" t="s">
        <v>73</v>
      </c>
      <c r="H18" s="11"/>
      <c r="I18" s="24">
        <f>I16*1.28</f>
        <v>547.11040000000003</v>
      </c>
      <c r="J18" s="11"/>
      <c r="K18" s="24"/>
      <c r="L18" s="31"/>
      <c r="M18" s="35"/>
      <c r="N18" s="28"/>
    </row>
    <row r="19" spans="2:14" ht="12.95" customHeight="1" x14ac:dyDescent="0.2">
      <c r="B19" s="11" t="str">
        <f>LEFT(E19,4)&amp;RIGHT(D19,3)&amp;"1N"</f>
        <v>TPCELC1N</v>
      </c>
      <c r="C19" s="11" t="s">
        <v>65</v>
      </c>
      <c r="D19" s="11" t="s">
        <v>70</v>
      </c>
      <c r="E19" s="11" t="s">
        <v>72</v>
      </c>
      <c r="F19" s="11">
        <v>2015</v>
      </c>
      <c r="G19" s="27" t="s">
        <v>73</v>
      </c>
      <c r="H19" s="11">
        <v>2015</v>
      </c>
      <c r="I19" s="24">
        <v>2020.202</v>
      </c>
      <c r="J19" s="11">
        <v>12</v>
      </c>
      <c r="K19" s="24">
        <v>29.958416250000003</v>
      </c>
      <c r="L19" s="31">
        <v>1.08E-5</v>
      </c>
      <c r="M19" s="35">
        <v>15236.082406806019</v>
      </c>
      <c r="N19" s="28">
        <v>1.55</v>
      </c>
    </row>
    <row r="20" spans="2:14" ht="12.95" customHeight="1" x14ac:dyDescent="0.2">
      <c r="B20" s="11"/>
      <c r="C20" s="11"/>
      <c r="D20" s="11"/>
      <c r="E20" s="11" t="s">
        <v>72</v>
      </c>
      <c r="F20" s="27">
        <v>2020</v>
      </c>
      <c r="G20" s="11" t="s">
        <v>73</v>
      </c>
      <c r="H20" s="11"/>
      <c r="I20" s="24">
        <v>2020.202</v>
      </c>
      <c r="J20" s="11"/>
      <c r="K20" s="24"/>
      <c r="L20" s="31"/>
      <c r="M20" s="35"/>
      <c r="N20" s="28"/>
    </row>
    <row r="21" spans="2:14" ht="12.95" customHeight="1" x14ac:dyDescent="0.2">
      <c r="B21" s="11"/>
      <c r="C21" s="11"/>
      <c r="D21" s="11"/>
      <c r="E21" s="11" t="s">
        <v>72</v>
      </c>
      <c r="F21" s="27">
        <v>2035</v>
      </c>
      <c r="G21" s="27" t="s">
        <v>73</v>
      </c>
      <c r="H21" s="11"/>
      <c r="I21" s="24">
        <f>1.03*I19</f>
        <v>2080.8080599999998</v>
      </c>
      <c r="J21" s="11"/>
      <c r="K21" s="24"/>
      <c r="L21" s="31"/>
      <c r="M21" s="35"/>
      <c r="N21" s="28"/>
    </row>
    <row r="22" spans="2:14" ht="12.95" customHeight="1" x14ac:dyDescent="0.2">
      <c r="B22" s="11" t="str">
        <f>LEFT(E22,4)&amp;RIGHT(D22,3)&amp;"1N"</f>
        <v>TPCH2G1N</v>
      </c>
      <c r="C22" s="11" t="s">
        <v>66</v>
      </c>
      <c r="D22" s="11" t="s">
        <v>71</v>
      </c>
      <c r="E22" s="11" t="s">
        <v>72</v>
      </c>
      <c r="F22" s="11">
        <v>2015</v>
      </c>
      <c r="G22" s="11" t="s">
        <v>73</v>
      </c>
      <c r="H22" s="11">
        <v>2015</v>
      </c>
      <c r="I22" s="24">
        <f>2.08083868758162*I13</f>
        <v>889.41288023301183</v>
      </c>
      <c r="J22" s="11">
        <v>12</v>
      </c>
      <c r="K22" s="24">
        <v>37.311683674999998</v>
      </c>
      <c r="L22" s="31">
        <v>4.655E-5</v>
      </c>
      <c r="M22" s="35">
        <v>15236.082406806019</v>
      </c>
      <c r="N22" s="28">
        <v>1.55</v>
      </c>
    </row>
    <row r="23" spans="2:14" ht="12.95" customHeight="1" x14ac:dyDescent="0.2">
      <c r="B23" s="11"/>
      <c r="C23" s="11"/>
      <c r="D23" s="11"/>
      <c r="E23" s="11" t="s">
        <v>72</v>
      </c>
      <c r="F23" s="27">
        <v>2020</v>
      </c>
      <c r="G23" s="27" t="s">
        <v>73</v>
      </c>
      <c r="H23" s="11"/>
      <c r="I23" s="24">
        <f>2.12*I13</f>
        <v>906.15160000000003</v>
      </c>
      <c r="J23" s="11"/>
      <c r="K23" s="24"/>
      <c r="L23" s="31"/>
      <c r="M23" s="35"/>
      <c r="N23" s="28"/>
    </row>
    <row r="24" spans="2:14" ht="12.95" customHeight="1" x14ac:dyDescent="0.2">
      <c r="B24" s="11"/>
      <c r="C24" s="11"/>
      <c r="D24" s="11"/>
      <c r="E24" s="11" t="s">
        <v>72</v>
      </c>
      <c r="F24" s="27">
        <v>2035</v>
      </c>
      <c r="G24" s="11" t="s">
        <v>73</v>
      </c>
      <c r="H24" s="11"/>
      <c r="I24" s="24">
        <f>2.18*I13</f>
        <v>931.79740000000004</v>
      </c>
      <c r="J24" s="11"/>
      <c r="K24" s="24"/>
      <c r="L24" s="31"/>
      <c r="M24" s="35"/>
      <c r="N24" s="28"/>
    </row>
    <row r="25" spans="2:14" ht="12.95" customHeight="1" x14ac:dyDescent="0.2">
      <c r="B25" s="29" t="str">
        <f>LEFT(E25,4)&amp;RIGHT(D25,3)&amp;"1N"</f>
        <v>TPBELC1N</v>
      </c>
      <c r="C25" s="29" t="s">
        <v>120</v>
      </c>
      <c r="D25" s="29" t="s">
        <v>70</v>
      </c>
      <c r="E25" s="29" t="s">
        <v>77</v>
      </c>
      <c r="F25" s="29">
        <v>2015</v>
      </c>
      <c r="G25" s="29" t="s">
        <v>73</v>
      </c>
      <c r="H25" s="29">
        <v>2015</v>
      </c>
      <c r="I25" s="30">
        <f>3.47439236111111*I31</f>
        <v>198.04036458333326</v>
      </c>
      <c r="J25" s="29">
        <v>6</v>
      </c>
      <c r="K25" s="30">
        <v>374.76</v>
      </c>
      <c r="L25" s="34">
        <v>4.5106949999999997E-5</v>
      </c>
      <c r="M25" s="38">
        <v>46175.971080848401</v>
      </c>
      <c r="N25" s="30">
        <v>14.179213229353294</v>
      </c>
    </row>
    <row r="26" spans="2:14" ht="12.95" customHeight="1" x14ac:dyDescent="0.2">
      <c r="B26" s="11"/>
      <c r="C26" s="11"/>
      <c r="D26" s="11"/>
      <c r="E26" s="11" t="s">
        <v>77</v>
      </c>
      <c r="F26" s="27">
        <v>2020</v>
      </c>
      <c r="G26" s="11" t="s">
        <v>73</v>
      </c>
      <c r="H26" s="11"/>
      <c r="I26" s="24">
        <f>3.85*I31</f>
        <v>219.45000000000002</v>
      </c>
      <c r="J26" s="11"/>
      <c r="K26" s="24"/>
      <c r="L26" s="31"/>
      <c r="M26" s="37"/>
      <c r="N26" s="28"/>
    </row>
    <row r="27" spans="2:14" ht="12.95" customHeight="1" x14ac:dyDescent="0.2">
      <c r="B27" s="11"/>
      <c r="C27" s="11"/>
      <c r="D27" s="11"/>
      <c r="E27" s="11" t="s">
        <v>77</v>
      </c>
      <c r="F27" s="27">
        <v>2035</v>
      </c>
      <c r="G27" s="27" t="s">
        <v>73</v>
      </c>
      <c r="H27" s="11"/>
      <c r="I27" s="24">
        <f>3.9*I31</f>
        <v>222.29999999999998</v>
      </c>
      <c r="J27" s="11"/>
      <c r="K27" s="24"/>
      <c r="L27" s="31"/>
      <c r="M27" s="37"/>
      <c r="N27" s="28"/>
    </row>
    <row r="28" spans="2:14" ht="12.95" customHeight="1" x14ac:dyDescent="0.2">
      <c r="B28" s="11" t="str">
        <f>LEFT(E28,3)&amp;RIGHT(D28,3)&amp;"1H"</f>
        <v>TPBDSL1H</v>
      </c>
      <c r="C28" s="11" t="s">
        <v>121</v>
      </c>
      <c r="D28" s="11" t="s">
        <v>67</v>
      </c>
      <c r="E28" s="11" t="s">
        <v>77</v>
      </c>
      <c r="F28" s="11">
        <v>2015</v>
      </c>
      <c r="G28" s="11" t="s">
        <v>73</v>
      </c>
      <c r="H28" s="11">
        <v>2015</v>
      </c>
      <c r="I28" s="24">
        <f>1.42946428571429*I31</f>
        <v>81.479464285714528</v>
      </c>
      <c r="J28" s="11">
        <v>6</v>
      </c>
      <c r="K28" s="24">
        <v>247.45500000000001</v>
      </c>
      <c r="L28" s="31">
        <v>3.0248190000000002E-5</v>
      </c>
      <c r="M28" s="37">
        <v>46175.971080848401</v>
      </c>
      <c r="N28" s="28">
        <v>14.179213229353294</v>
      </c>
    </row>
    <row r="29" spans="2:14" ht="12.95" customHeight="1" x14ac:dyDescent="0.2">
      <c r="B29" s="11"/>
      <c r="C29" s="11"/>
      <c r="D29" s="11"/>
      <c r="E29" s="11" t="s">
        <v>77</v>
      </c>
      <c r="F29" s="27">
        <v>2020</v>
      </c>
      <c r="G29" s="27" t="s">
        <v>73</v>
      </c>
      <c r="H29" s="11"/>
      <c r="I29" s="24">
        <f>1.55*I31</f>
        <v>88.350000000000009</v>
      </c>
      <c r="J29" s="11"/>
      <c r="K29" s="24"/>
      <c r="L29" s="31"/>
      <c r="M29" s="37"/>
      <c r="N29" s="28"/>
    </row>
    <row r="30" spans="2:14" ht="12.95" customHeight="1" x14ac:dyDescent="0.2">
      <c r="B30" s="11"/>
      <c r="C30" s="11"/>
      <c r="D30" s="11"/>
      <c r="E30" s="11" t="s">
        <v>77</v>
      </c>
      <c r="F30" s="27">
        <v>2035</v>
      </c>
      <c r="G30" s="11" t="s">
        <v>73</v>
      </c>
      <c r="H30" s="11"/>
      <c r="I30" s="24">
        <f>1.79*I31</f>
        <v>102.03</v>
      </c>
      <c r="J30" s="11"/>
      <c r="K30" s="24"/>
      <c r="L30" s="31"/>
      <c r="M30" s="37"/>
      <c r="N30" s="28"/>
    </row>
    <row r="31" spans="2:14" ht="12.95" customHeight="1" x14ac:dyDescent="0.2">
      <c r="B31" s="11" t="str">
        <f>LEFT(E31,3)&amp;RIGHT(D31,3)&amp;"1N"</f>
        <v>TPBDSL1N</v>
      </c>
      <c r="C31" s="11" t="s">
        <v>122</v>
      </c>
      <c r="D31" s="11" t="s">
        <v>67</v>
      </c>
      <c r="E31" s="11" t="s">
        <v>77</v>
      </c>
      <c r="F31" s="11">
        <v>2015</v>
      </c>
      <c r="G31" s="27" t="s">
        <v>73</v>
      </c>
      <c r="H31" s="11">
        <v>2015</v>
      </c>
      <c r="I31" s="24">
        <v>57</v>
      </c>
      <c r="J31" s="11">
        <v>6</v>
      </c>
      <c r="K31" s="24">
        <v>179.95500000000001</v>
      </c>
      <c r="L31" s="31">
        <v>3.1840200000000007E-5</v>
      </c>
      <c r="M31" s="37">
        <v>46175.971080848401</v>
      </c>
      <c r="N31" s="28">
        <v>14.179213229353294</v>
      </c>
    </row>
    <row r="32" spans="2:14" ht="12.95" customHeight="1" x14ac:dyDescent="0.2">
      <c r="B32" s="11"/>
      <c r="C32" s="11"/>
      <c r="D32" s="11"/>
      <c r="E32" s="11" t="s">
        <v>77</v>
      </c>
      <c r="F32" s="27">
        <v>2020</v>
      </c>
      <c r="G32" s="11" t="s">
        <v>73</v>
      </c>
      <c r="H32" s="11"/>
      <c r="I32" s="24">
        <f>I31*1.05</f>
        <v>59.85</v>
      </c>
      <c r="J32" s="11"/>
      <c r="K32" s="24"/>
      <c r="L32" s="31"/>
      <c r="M32" s="37"/>
      <c r="N32" s="28"/>
    </row>
    <row r="33" spans="2:14" ht="12.95" customHeight="1" x14ac:dyDescent="0.2">
      <c r="B33" s="11"/>
      <c r="C33" s="11"/>
      <c r="D33" s="11"/>
      <c r="E33" s="11" t="s">
        <v>77</v>
      </c>
      <c r="F33" s="27">
        <v>2035</v>
      </c>
      <c r="G33" s="27" t="s">
        <v>73</v>
      </c>
      <c r="H33" s="11"/>
      <c r="I33" s="24">
        <f>I31*1.11</f>
        <v>63.27</v>
      </c>
      <c r="J33" s="11"/>
      <c r="K33" s="24"/>
      <c r="L33" s="31"/>
      <c r="M33" s="37"/>
      <c r="N33" s="28"/>
    </row>
    <row r="34" spans="2:14" ht="12.95" customHeight="1" x14ac:dyDescent="0.2">
      <c r="B34" s="11" t="str">
        <f>LEFT(E34,3)&amp;RIGHT(D34,3)&amp;"1N"</f>
        <v>TPBNGA1N</v>
      </c>
      <c r="C34" s="11" t="s">
        <v>123</v>
      </c>
      <c r="D34" s="11" t="s">
        <v>69</v>
      </c>
      <c r="E34" s="11" t="s">
        <v>77</v>
      </c>
      <c r="F34" s="11">
        <v>2015</v>
      </c>
      <c r="G34" s="11" t="s">
        <v>73</v>
      </c>
      <c r="H34" s="11">
        <v>2015</v>
      </c>
      <c r="I34" s="24">
        <f>0.754302776288998*I31</f>
        <v>42.995258248472886</v>
      </c>
      <c r="J34" s="11">
        <v>6</v>
      </c>
      <c r="K34" s="24">
        <v>203.17500000000001</v>
      </c>
      <c r="L34" s="31">
        <v>3.2724650000000005E-5</v>
      </c>
      <c r="M34" s="37">
        <v>46175.971080848401</v>
      </c>
      <c r="N34" s="28">
        <v>14.179213229353294</v>
      </c>
    </row>
    <row r="35" spans="2:14" ht="12.95" customHeight="1" x14ac:dyDescent="0.2">
      <c r="B35" s="11"/>
      <c r="C35" s="11"/>
      <c r="D35" s="11"/>
      <c r="E35" s="11" t="s">
        <v>77</v>
      </c>
      <c r="F35" s="27">
        <v>2020</v>
      </c>
      <c r="G35" s="27" t="s">
        <v>73</v>
      </c>
      <c r="H35" s="11"/>
      <c r="I35" s="24">
        <f>0.83*I31</f>
        <v>47.309999999999995</v>
      </c>
      <c r="J35" s="11"/>
      <c r="K35" s="24"/>
      <c r="L35" s="31"/>
      <c r="M35" s="37"/>
      <c r="N35" s="28"/>
    </row>
    <row r="36" spans="2:14" ht="12.95" customHeight="1" x14ac:dyDescent="0.2">
      <c r="B36" s="11"/>
      <c r="C36" s="11"/>
      <c r="D36" s="11"/>
      <c r="E36" s="11" t="s">
        <v>77</v>
      </c>
      <c r="F36" s="27">
        <v>2035</v>
      </c>
      <c r="G36" s="11" t="s">
        <v>73</v>
      </c>
      <c r="H36" s="11"/>
      <c r="I36" s="24">
        <f>0.93*I31</f>
        <v>53.010000000000005</v>
      </c>
      <c r="J36" s="11"/>
      <c r="K36" s="24"/>
      <c r="L36" s="31"/>
      <c r="M36" s="37"/>
      <c r="N36" s="28"/>
    </row>
    <row r="37" spans="2:14" ht="12.95" customHeight="1" x14ac:dyDescent="0.2">
      <c r="B37" s="29" t="str">
        <f>LEFT(E37,3)&amp;RIGHT(D37,3)&amp;"1N"</f>
        <v>TPRELC1N</v>
      </c>
      <c r="C37" s="29" t="s">
        <v>124</v>
      </c>
      <c r="D37" s="29" t="s">
        <v>70</v>
      </c>
      <c r="E37" s="29" t="s">
        <v>78</v>
      </c>
      <c r="F37" s="29">
        <v>2015</v>
      </c>
      <c r="G37" s="29" t="s">
        <v>73</v>
      </c>
      <c r="H37" s="29">
        <v>2015</v>
      </c>
      <c r="I37" s="30">
        <v>28.1</v>
      </c>
      <c r="J37" s="29">
        <v>30</v>
      </c>
      <c r="K37" s="30">
        <v>7155</v>
      </c>
      <c r="L37" s="34">
        <v>3.8969E-3</v>
      </c>
      <c r="M37" s="29">
        <v>145000</v>
      </c>
      <c r="N37" s="30">
        <v>74.358394573205203</v>
      </c>
    </row>
    <row r="38" spans="2:14" ht="12.95" customHeight="1" x14ac:dyDescent="0.2">
      <c r="B38" s="27"/>
      <c r="C38" s="27"/>
      <c r="D38" s="27"/>
      <c r="E38" s="27" t="s">
        <v>78</v>
      </c>
      <c r="F38" s="27">
        <v>2020</v>
      </c>
      <c r="G38" s="11" t="s">
        <v>73</v>
      </c>
      <c r="H38" s="27"/>
      <c r="I38" s="28">
        <f>1.04*I37</f>
        <v>29.224000000000004</v>
      </c>
      <c r="J38" s="27"/>
      <c r="K38" s="28"/>
      <c r="L38" s="33"/>
      <c r="M38" s="27"/>
      <c r="N38" s="28"/>
    </row>
    <row r="39" spans="2:14" ht="12.95" customHeight="1" x14ac:dyDescent="0.2">
      <c r="B39" s="27"/>
      <c r="C39" s="27"/>
      <c r="D39" s="27"/>
      <c r="E39" s="27" t="s">
        <v>78</v>
      </c>
      <c r="F39" s="27">
        <v>2035</v>
      </c>
      <c r="G39" s="27" t="s">
        <v>73</v>
      </c>
      <c r="H39" s="27"/>
      <c r="I39" s="28">
        <f>1.16*I37</f>
        <v>32.595999999999997</v>
      </c>
      <c r="J39" s="27"/>
      <c r="K39" s="28"/>
      <c r="L39" s="33"/>
      <c r="M39" s="27"/>
      <c r="N39" s="28"/>
    </row>
    <row r="40" spans="2:14" ht="12.95" customHeight="1" x14ac:dyDescent="0.2">
      <c r="B40" s="27" t="str">
        <f>LEFT(E40,3)&amp;RIGHT(D40,3)&amp;"1N"</f>
        <v>TPRDSL1N</v>
      </c>
      <c r="C40" s="27" t="s">
        <v>125</v>
      </c>
      <c r="D40" s="27" t="s">
        <v>67</v>
      </c>
      <c r="E40" s="27" t="s">
        <v>78</v>
      </c>
      <c r="F40" s="11">
        <v>2015</v>
      </c>
      <c r="G40" s="11" t="s">
        <v>73</v>
      </c>
      <c r="H40" s="27">
        <v>2015</v>
      </c>
      <c r="I40" s="28">
        <v>14.99</v>
      </c>
      <c r="J40" s="27">
        <v>30</v>
      </c>
      <c r="K40" s="28">
        <v>8370</v>
      </c>
      <c r="L40" s="33">
        <v>3.8969E-3</v>
      </c>
      <c r="M40" s="27">
        <v>145000</v>
      </c>
      <c r="N40" s="28">
        <v>74.358394573205203</v>
      </c>
    </row>
    <row r="41" spans="2:14" ht="12.95" customHeight="1" x14ac:dyDescent="0.2">
      <c r="B41" s="27"/>
      <c r="C41" s="27"/>
      <c r="D41" s="27"/>
      <c r="E41" s="27" t="s">
        <v>78</v>
      </c>
      <c r="F41" s="27">
        <v>2020</v>
      </c>
      <c r="G41" s="27" t="s">
        <v>73</v>
      </c>
      <c r="H41" s="27"/>
      <c r="I41" s="28">
        <f>I40*1.07</f>
        <v>16.039300000000001</v>
      </c>
      <c r="J41" s="27"/>
      <c r="K41" s="28"/>
      <c r="L41" s="33"/>
      <c r="M41" s="27"/>
      <c r="N41" s="28"/>
    </row>
    <row r="42" spans="2:14" ht="12.95" customHeight="1" x14ac:dyDescent="0.2">
      <c r="B42" s="27"/>
      <c r="C42" s="27"/>
      <c r="D42" s="27"/>
      <c r="E42" s="27" t="s">
        <v>78</v>
      </c>
      <c r="F42" s="27">
        <v>2035</v>
      </c>
      <c r="G42" s="11" t="s">
        <v>73</v>
      </c>
      <c r="H42" s="27"/>
      <c r="I42" s="28">
        <f>I40*1.15</f>
        <v>17.238499999999998</v>
      </c>
      <c r="J42" s="27"/>
      <c r="K42" s="28"/>
      <c r="L42" s="33"/>
      <c r="M42" s="27"/>
      <c r="N42" s="28"/>
    </row>
    <row r="43" spans="2:14" ht="12.95" customHeight="1" x14ac:dyDescent="0.2">
      <c r="B43" s="29" t="str">
        <f>LEFT(E43,4)&amp;RIGHT(D43,3)&amp;"1N"</f>
        <v>TPANKER1N</v>
      </c>
      <c r="C43" s="29" t="s">
        <v>79</v>
      </c>
      <c r="D43" s="29" t="s">
        <v>80</v>
      </c>
      <c r="E43" s="29" t="s">
        <v>81</v>
      </c>
      <c r="F43" s="29">
        <v>2015</v>
      </c>
      <c r="G43" s="29" t="s">
        <v>73</v>
      </c>
      <c r="H43" s="29">
        <v>2015</v>
      </c>
      <c r="I43" s="30">
        <v>10.039999999999999</v>
      </c>
      <c r="J43" s="29">
        <v>30</v>
      </c>
      <c r="K43" s="30">
        <v>71280</v>
      </c>
      <c r="L43" s="34">
        <v>5.5311248896570062E-3</v>
      </c>
      <c r="M43" s="29">
        <v>1750000</v>
      </c>
      <c r="N43" s="30">
        <v>120</v>
      </c>
    </row>
    <row r="44" spans="2:14" ht="12.95" customHeight="1" x14ac:dyDescent="0.2">
      <c r="B44" s="27"/>
      <c r="C44" s="27"/>
      <c r="D44" s="27"/>
      <c r="E44" s="27" t="s">
        <v>81</v>
      </c>
      <c r="F44" s="27">
        <v>2020</v>
      </c>
      <c r="G44" s="11" t="s">
        <v>73</v>
      </c>
      <c r="H44" s="27"/>
      <c r="I44" s="28">
        <f>I43*1.02</f>
        <v>10.2408</v>
      </c>
      <c r="J44" s="27"/>
      <c r="K44" s="28"/>
      <c r="L44" s="33">
        <v>5.6476518847892307E-3</v>
      </c>
      <c r="M44" s="27"/>
      <c r="N44" s="28"/>
    </row>
    <row r="45" spans="2:14" ht="12.95" customHeight="1" x14ac:dyDescent="0.2">
      <c r="B45" s="25"/>
      <c r="C45" s="25"/>
      <c r="D45" s="25"/>
      <c r="E45" s="25" t="s">
        <v>81</v>
      </c>
      <c r="F45" s="25">
        <v>2035</v>
      </c>
      <c r="G45" s="25" t="s">
        <v>73</v>
      </c>
      <c r="H45" s="25"/>
      <c r="I45" s="26">
        <f>I43*1.103</f>
        <v>11.074119999999999</v>
      </c>
      <c r="J45" s="25"/>
      <c r="K45" s="26"/>
      <c r="L45" s="32">
        <v>5.9494310569448263E-3</v>
      </c>
      <c r="M45" s="25"/>
      <c r="N45" s="26"/>
    </row>
    <row r="46" spans="2:14" ht="12.95" customHeight="1" x14ac:dyDescent="0.2">
      <c r="B46" s="27" t="str">
        <f>LEFT(E46,4)&amp;RIGHT(D46,3)&amp;"1N"</f>
        <v>TPAIKER1N</v>
      </c>
      <c r="C46" s="27" t="s">
        <v>115</v>
      </c>
      <c r="D46" s="27" t="s">
        <v>80</v>
      </c>
      <c r="E46" s="27" t="s">
        <v>82</v>
      </c>
      <c r="F46" s="27">
        <v>2015</v>
      </c>
      <c r="G46" s="11" t="s">
        <v>73</v>
      </c>
      <c r="H46" s="27">
        <v>2015</v>
      </c>
      <c r="I46" s="28">
        <v>13.311</v>
      </c>
      <c r="J46" s="27">
        <v>30</v>
      </c>
      <c r="K46" s="28">
        <v>80190</v>
      </c>
      <c r="L46" s="33">
        <v>5.5311248896570062E-3</v>
      </c>
      <c r="M46" s="27">
        <v>2800000</v>
      </c>
      <c r="N46" s="28">
        <v>120</v>
      </c>
    </row>
    <row r="47" spans="2:14" ht="12.95" customHeight="1" x14ac:dyDescent="0.2">
      <c r="B47" s="27"/>
      <c r="C47" s="27"/>
      <c r="D47" s="27"/>
      <c r="E47" s="27" t="s">
        <v>82</v>
      </c>
      <c r="F47" s="27">
        <v>2020</v>
      </c>
      <c r="G47" s="11" t="s">
        <v>73</v>
      </c>
      <c r="H47" s="27"/>
      <c r="I47" s="28">
        <f>I46*1.03</f>
        <v>13.710330000000001</v>
      </c>
      <c r="J47" s="27"/>
      <c r="K47" s="28"/>
      <c r="L47" s="33">
        <v>5.6476518847892307E-3</v>
      </c>
      <c r="M47" s="27"/>
      <c r="N47" s="28"/>
    </row>
    <row r="48" spans="2:14" ht="12.95" customHeight="1" x14ac:dyDescent="0.2">
      <c r="B48" s="25"/>
      <c r="C48" s="25"/>
      <c r="D48" s="25"/>
      <c r="E48" s="25" t="s">
        <v>82</v>
      </c>
      <c r="F48" s="25">
        <v>2035</v>
      </c>
      <c r="G48" s="25" t="s">
        <v>73</v>
      </c>
      <c r="H48" s="25"/>
      <c r="I48" s="39">
        <f>I46*1.05</f>
        <v>13.976550000000001</v>
      </c>
      <c r="J48" s="25"/>
      <c r="K48" s="26"/>
      <c r="L48" s="32">
        <v>5.9494310569448263E-3</v>
      </c>
      <c r="M48" s="25"/>
      <c r="N48" s="26"/>
    </row>
    <row r="49" spans="2:14" ht="12.95" customHeight="1" x14ac:dyDescent="0.2">
      <c r="B49" s="29" t="s">
        <v>83</v>
      </c>
      <c r="C49" s="29" t="s">
        <v>84</v>
      </c>
      <c r="D49" s="29" t="s">
        <v>67</v>
      </c>
      <c r="E49" s="29" t="s">
        <v>85</v>
      </c>
      <c r="F49" s="27">
        <v>2015</v>
      </c>
      <c r="G49" s="11" t="s">
        <v>73</v>
      </c>
      <c r="H49" s="29">
        <v>2015</v>
      </c>
      <c r="I49" s="30">
        <v>3.181</v>
      </c>
      <c r="J49" s="29">
        <v>28</v>
      </c>
      <c r="K49" s="30">
        <v>1782</v>
      </c>
      <c r="L49" s="34">
        <v>2.9024999999999998E-4</v>
      </c>
      <c r="M49" s="37">
        <v>99555.006368801944</v>
      </c>
      <c r="N49" s="30">
        <v>30.022900555247588</v>
      </c>
    </row>
    <row r="50" spans="2:14" ht="12.95" customHeight="1" x14ac:dyDescent="0.2">
      <c r="B50" s="27"/>
      <c r="C50" s="27"/>
      <c r="D50" s="27"/>
      <c r="E50" s="27" t="s">
        <v>85</v>
      </c>
      <c r="F50" s="27">
        <v>2020</v>
      </c>
      <c r="G50" s="11" t="s">
        <v>73</v>
      </c>
      <c r="H50" s="27"/>
      <c r="I50" s="28">
        <f>I49</f>
        <v>3.181</v>
      </c>
      <c r="J50" s="27"/>
      <c r="K50" s="28"/>
      <c r="L50" s="33">
        <v>3.1995E-4</v>
      </c>
      <c r="M50" s="37"/>
      <c r="N50" s="28"/>
    </row>
    <row r="51" spans="2:14" ht="12.95" customHeight="1" x14ac:dyDescent="0.2">
      <c r="B51" s="25"/>
      <c r="C51" s="25"/>
      <c r="D51" s="25"/>
      <c r="E51" s="25" t="s">
        <v>85</v>
      </c>
      <c r="F51" s="25">
        <v>2035</v>
      </c>
      <c r="G51" s="25" t="s">
        <v>73</v>
      </c>
      <c r="H51" s="25"/>
      <c r="I51" s="26">
        <f>I50</f>
        <v>3.181</v>
      </c>
      <c r="J51" s="25"/>
      <c r="K51" s="26"/>
      <c r="L51" s="32">
        <v>3.5504999999999998E-4</v>
      </c>
      <c r="M51" s="36"/>
      <c r="N51" s="26"/>
    </row>
    <row r="52" spans="2:14" ht="12.95" customHeight="1" x14ac:dyDescent="0.2">
      <c r="B52" s="29" t="s">
        <v>86</v>
      </c>
      <c r="C52" s="29" t="s">
        <v>87</v>
      </c>
      <c r="D52" s="29" t="s">
        <v>88</v>
      </c>
      <c r="E52" s="29" t="s">
        <v>89</v>
      </c>
      <c r="F52" s="27">
        <v>2015</v>
      </c>
      <c r="G52" s="11" t="s">
        <v>73</v>
      </c>
      <c r="H52" s="29">
        <v>2015</v>
      </c>
      <c r="I52" s="30">
        <v>4.306</v>
      </c>
      <c r="J52" s="29">
        <v>28</v>
      </c>
      <c r="K52" s="30">
        <v>2539.35</v>
      </c>
      <c r="L52" s="34">
        <v>5.0219999999999996E-4</v>
      </c>
      <c r="M52" s="38">
        <v>220565.19204237123</v>
      </c>
      <c r="N52" s="30">
        <v>325.74280920015593</v>
      </c>
    </row>
    <row r="53" spans="2:14" ht="12.95" customHeight="1" x14ac:dyDescent="0.2">
      <c r="B53" s="27"/>
      <c r="C53" s="27"/>
      <c r="D53" s="27"/>
      <c r="E53" s="27" t="s">
        <v>89</v>
      </c>
      <c r="F53" s="27">
        <v>2020</v>
      </c>
      <c r="G53" s="11" t="s">
        <v>73</v>
      </c>
      <c r="H53" s="27"/>
      <c r="I53" s="28">
        <f>I52</f>
        <v>4.306</v>
      </c>
      <c r="J53" s="27"/>
      <c r="K53" s="28"/>
      <c r="L53" s="33">
        <v>5.5214999999999995E-4</v>
      </c>
      <c r="M53" s="37"/>
      <c r="N53" s="28"/>
    </row>
    <row r="54" spans="2:14" ht="12.95" customHeight="1" x14ac:dyDescent="0.2">
      <c r="B54" s="25"/>
      <c r="C54" s="25"/>
      <c r="D54" s="25"/>
      <c r="E54" s="25" t="s">
        <v>89</v>
      </c>
      <c r="F54" s="25">
        <v>2035</v>
      </c>
      <c r="G54" s="25" t="s">
        <v>73</v>
      </c>
      <c r="H54" s="25"/>
      <c r="I54" s="26">
        <f>I53</f>
        <v>4.306</v>
      </c>
      <c r="J54" s="25"/>
      <c r="K54" s="26"/>
      <c r="L54" s="32">
        <v>6.1289999999999999E-4</v>
      </c>
      <c r="M54" s="36"/>
      <c r="N54" s="26"/>
    </row>
    <row r="55" spans="2:14" ht="12.95" customHeight="1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7" spans="2:14" x14ac:dyDescent="0.2">
      <c r="N57" s="3"/>
    </row>
    <row r="60" spans="2:14" x14ac:dyDescent="0.2">
      <c r="B60" s="1" t="s">
        <v>6</v>
      </c>
      <c r="C60" s="3"/>
      <c r="D60" s="3"/>
      <c r="E60" s="3"/>
      <c r="F60" s="3"/>
      <c r="G60" s="3"/>
      <c r="H60" s="3"/>
      <c r="I60" s="3"/>
    </row>
    <row r="61" spans="2:14" x14ac:dyDescent="0.2">
      <c r="B61" s="7" t="s">
        <v>7</v>
      </c>
      <c r="C61" s="7" t="s">
        <v>5</v>
      </c>
      <c r="D61" s="7" t="s">
        <v>8</v>
      </c>
      <c r="E61" s="8" t="s">
        <v>9</v>
      </c>
      <c r="F61" s="8" t="s">
        <v>10</v>
      </c>
      <c r="G61" s="8" t="s">
        <v>11</v>
      </c>
      <c r="H61" s="8" t="s">
        <v>12</v>
      </c>
      <c r="I61" s="8" t="s">
        <v>13</v>
      </c>
    </row>
    <row r="62" spans="2:14" ht="51.75" thickBot="1" x14ac:dyDescent="0.25">
      <c r="B62" s="9" t="s">
        <v>23</v>
      </c>
      <c r="C62" s="9" t="s">
        <v>24</v>
      </c>
      <c r="D62" s="9" t="s">
        <v>25</v>
      </c>
      <c r="E62" s="9" t="s">
        <v>9</v>
      </c>
      <c r="F62" s="9" t="s">
        <v>26</v>
      </c>
      <c r="G62" s="9" t="s">
        <v>27</v>
      </c>
      <c r="H62" s="9" t="s">
        <v>28</v>
      </c>
      <c r="I62" s="9" t="s">
        <v>29</v>
      </c>
    </row>
    <row r="63" spans="2:14" x14ac:dyDescent="0.2">
      <c r="B63" s="11"/>
      <c r="C63" s="11"/>
      <c r="D63" s="11"/>
      <c r="E63" s="11"/>
      <c r="F63" s="11"/>
      <c r="G63" s="11"/>
      <c r="H63" s="11"/>
      <c r="I63" s="11"/>
    </row>
    <row r="67" spans="2:9" x14ac:dyDescent="0.2">
      <c r="B67" s="1" t="s">
        <v>17</v>
      </c>
      <c r="C67" s="1"/>
    </row>
    <row r="68" spans="2:9" x14ac:dyDescent="0.2">
      <c r="B68" s="6" t="s">
        <v>14</v>
      </c>
      <c r="C68" s="6" t="s">
        <v>1</v>
      </c>
      <c r="D68" s="6" t="s">
        <v>2</v>
      </c>
      <c r="E68" s="6" t="s">
        <v>18</v>
      </c>
      <c r="F68" s="6" t="s">
        <v>19</v>
      </c>
      <c r="G68" s="6" t="s">
        <v>20</v>
      </c>
      <c r="H68" s="6" t="s">
        <v>21</v>
      </c>
      <c r="I68" s="6" t="s">
        <v>22</v>
      </c>
    </row>
    <row r="69" spans="2:9" ht="64.5" thickBot="1" x14ac:dyDescent="0.25">
      <c r="B69" s="10" t="s">
        <v>30</v>
      </c>
      <c r="C69" s="10" t="s">
        <v>31</v>
      </c>
      <c r="D69" s="10" t="s">
        <v>32</v>
      </c>
      <c r="E69" s="10" t="s">
        <v>33</v>
      </c>
      <c r="F69" s="10" t="s">
        <v>34</v>
      </c>
      <c r="G69" s="10" t="s">
        <v>35</v>
      </c>
      <c r="H69" s="10" t="s">
        <v>36</v>
      </c>
      <c r="I69" s="10" t="s">
        <v>37</v>
      </c>
    </row>
    <row r="70" spans="2:9" x14ac:dyDescent="0.2">
      <c r="B70" s="11" t="s">
        <v>76</v>
      </c>
      <c r="C70" s="11" t="str">
        <f>B10</f>
        <v>TPCDSL1N</v>
      </c>
      <c r="D70" s="11" t="str">
        <f>C10</f>
        <v>Transport Passengers Car - Diesel Engine - New</v>
      </c>
      <c r="E70" s="11" t="s">
        <v>74</v>
      </c>
      <c r="F70" s="11" t="s">
        <v>75</v>
      </c>
      <c r="G70" s="11"/>
      <c r="H70" s="11"/>
      <c r="I70" s="11" t="s">
        <v>90</v>
      </c>
    </row>
    <row r="71" spans="2:9" x14ac:dyDescent="0.2">
      <c r="B71" s="11"/>
      <c r="C71" s="11" t="str">
        <f>B13</f>
        <v>TPCGSL1N</v>
      </c>
      <c r="D71" s="11" t="str">
        <f>C13</f>
        <v>Transport Passengers Car - Otto Engine - New</v>
      </c>
      <c r="E71" s="11" t="s">
        <v>74</v>
      </c>
      <c r="F71" s="11" t="s">
        <v>75</v>
      </c>
      <c r="G71" s="11"/>
      <c r="H71" s="11"/>
      <c r="I71" s="11" t="s">
        <v>90</v>
      </c>
    </row>
    <row r="72" spans="2:9" x14ac:dyDescent="0.2">
      <c r="B72" s="11"/>
      <c r="C72" s="11" t="str">
        <f>B16</f>
        <v>TPCNGA1N</v>
      </c>
      <c r="D72" s="11" t="str">
        <f>C16</f>
        <v>Transport Passengers Car - Gas Engine - New</v>
      </c>
      <c r="E72" s="11" t="s">
        <v>74</v>
      </c>
      <c r="F72" s="11" t="s">
        <v>75</v>
      </c>
      <c r="G72" s="11"/>
      <c r="H72" s="11"/>
      <c r="I72" s="11" t="s">
        <v>90</v>
      </c>
    </row>
    <row r="73" spans="2:9" x14ac:dyDescent="0.2">
      <c r="B73" s="11"/>
      <c r="C73" s="11" t="str">
        <f>B19</f>
        <v>TPCELC1N</v>
      </c>
      <c r="D73" s="11" t="str">
        <f>C19</f>
        <v>Transport Passengers Car - Battery Electric Vehicle - New</v>
      </c>
      <c r="E73" s="11" t="s">
        <v>74</v>
      </c>
      <c r="F73" s="11" t="s">
        <v>75</v>
      </c>
      <c r="G73" s="11"/>
      <c r="H73" s="11"/>
      <c r="I73" s="11" t="s">
        <v>90</v>
      </c>
    </row>
    <row r="74" spans="2:9" x14ac:dyDescent="0.2">
      <c r="B74" s="11"/>
      <c r="C74" s="11" t="str">
        <f>B22</f>
        <v>TPCH2G1N</v>
      </c>
      <c r="D74" s="11" t="str">
        <f>C22</f>
        <v>Transport Passengers Car - Hydrogen Fuel-cell Electric Vehicle - New</v>
      </c>
      <c r="E74" s="11" t="s">
        <v>74</v>
      </c>
      <c r="F74" s="11" t="s">
        <v>75</v>
      </c>
      <c r="G74" s="11"/>
      <c r="H74" s="11"/>
      <c r="I74" s="11" t="s">
        <v>90</v>
      </c>
    </row>
    <row r="75" spans="2:9" x14ac:dyDescent="0.2">
      <c r="B75" s="11"/>
      <c r="C75" s="11" t="str">
        <f>B25</f>
        <v>TPBELC1N</v>
      </c>
      <c r="D75" s="11" t="str">
        <f>C25</f>
        <v>Transport Passengers Buses - Electric - New</v>
      </c>
      <c r="E75" s="11" t="s">
        <v>74</v>
      </c>
      <c r="F75" s="11" t="s">
        <v>75</v>
      </c>
      <c r="G75" s="11"/>
      <c r="H75" s="11"/>
      <c r="I75" s="11" t="s">
        <v>90</v>
      </c>
    </row>
    <row r="76" spans="2:9" x14ac:dyDescent="0.2">
      <c r="B76" s="11"/>
      <c r="C76" s="11" t="str">
        <f>B28</f>
        <v>TPBDSL1H</v>
      </c>
      <c r="D76" s="11" t="str">
        <f>C28</f>
        <v>Transport Passengers Buses - Diesel Hybrid - New</v>
      </c>
      <c r="E76" s="11" t="s">
        <v>74</v>
      </c>
      <c r="F76" s="11" t="s">
        <v>75</v>
      </c>
      <c r="G76" s="11"/>
      <c r="H76" s="11"/>
      <c r="I76" s="11" t="s">
        <v>90</v>
      </c>
    </row>
    <row r="77" spans="2:9" x14ac:dyDescent="0.2">
      <c r="B77" s="11"/>
      <c r="C77" s="11" t="str">
        <f>B31</f>
        <v>TPBDSL1N</v>
      </c>
      <c r="D77" s="11" t="str">
        <f>C31</f>
        <v>Transport Passengers Buses - Diesel Engine - New</v>
      </c>
      <c r="E77" s="11" t="s">
        <v>74</v>
      </c>
      <c r="F77" s="11" t="s">
        <v>75</v>
      </c>
      <c r="G77" s="11"/>
      <c r="H77" s="11"/>
      <c r="I77" s="11" t="s">
        <v>90</v>
      </c>
    </row>
    <row r="78" spans="2:9" x14ac:dyDescent="0.2">
      <c r="B78" s="11"/>
      <c r="C78" s="11" t="str">
        <f>B34</f>
        <v>TPBNGA1N</v>
      </c>
      <c r="D78" s="11" t="str">
        <f>C34</f>
        <v>Transport Passengers Buses - Gas Engine - New</v>
      </c>
      <c r="E78" s="11" t="s">
        <v>74</v>
      </c>
      <c r="F78" s="11" t="s">
        <v>75</v>
      </c>
      <c r="G78" s="11"/>
      <c r="H78" s="11"/>
      <c r="I78" s="11" t="s">
        <v>90</v>
      </c>
    </row>
    <row r="79" spans="2:9" x14ac:dyDescent="0.2">
      <c r="B79" s="11"/>
      <c r="C79" s="11" t="str">
        <f>B37</f>
        <v>TPRELC1N</v>
      </c>
      <c r="D79" s="11" t="str">
        <f>C37</f>
        <v>Transport Passengers Rail - Electric - New</v>
      </c>
      <c r="E79" s="11" t="s">
        <v>74</v>
      </c>
      <c r="F79" s="11" t="s">
        <v>75</v>
      </c>
      <c r="G79" s="11"/>
      <c r="H79" s="11"/>
      <c r="I79" s="11" t="s">
        <v>90</v>
      </c>
    </row>
    <row r="80" spans="2:9" x14ac:dyDescent="0.2">
      <c r="B80" s="11"/>
      <c r="C80" s="11" t="str">
        <f>B40</f>
        <v>TPRDSL1N</v>
      </c>
      <c r="D80" s="11" t="str">
        <f>C40</f>
        <v>Transport Passengers Rail - Diesel Engine - New</v>
      </c>
      <c r="E80" s="11" t="s">
        <v>74</v>
      </c>
      <c r="F80" s="11" t="s">
        <v>75</v>
      </c>
      <c r="G80" s="11"/>
      <c r="H80" s="11"/>
      <c r="I80" s="11" t="s">
        <v>90</v>
      </c>
    </row>
    <row r="81" spans="2:9" x14ac:dyDescent="0.2">
      <c r="B81" s="11"/>
      <c r="C81" s="11" t="str">
        <f>B43</f>
        <v>TPANKER1N</v>
      </c>
      <c r="D81" s="11" t="str">
        <f>C43</f>
        <v>Transport Passengers Aviation National- Kerosene - New</v>
      </c>
      <c r="E81" s="11" t="s">
        <v>74</v>
      </c>
      <c r="F81" s="11" t="s">
        <v>75</v>
      </c>
      <c r="G81" s="11"/>
      <c r="H81" s="11"/>
      <c r="I81" s="11" t="s">
        <v>90</v>
      </c>
    </row>
    <row r="82" spans="2:9" x14ac:dyDescent="0.2">
      <c r="B82" s="11"/>
      <c r="C82" s="11" t="str">
        <f>B46</f>
        <v>TPAIKER1N</v>
      </c>
      <c r="D82" s="11" t="str">
        <f>C46</f>
        <v>Transport Passengers Aviation International - Kerosene - New</v>
      </c>
      <c r="E82" s="11" t="s">
        <v>74</v>
      </c>
      <c r="F82" s="11" t="s">
        <v>75</v>
      </c>
      <c r="G82" s="11"/>
      <c r="H82" s="11"/>
      <c r="I82" s="11" t="s">
        <v>90</v>
      </c>
    </row>
    <row r="83" spans="2:9" x14ac:dyDescent="0.2">
      <c r="B83" s="11"/>
      <c r="C83" s="11" t="str">
        <f>B49</f>
        <v>TPSNDSL1N</v>
      </c>
      <c r="D83" s="11" t="str">
        <f>C49</f>
        <v>Transport Passengers Ship National- Diesel - New</v>
      </c>
      <c r="E83" s="11" t="s">
        <v>74</v>
      </c>
      <c r="F83" s="11" t="s">
        <v>75</v>
      </c>
      <c r="G83" s="11"/>
      <c r="H83" s="11"/>
      <c r="I83" s="11" t="s">
        <v>90</v>
      </c>
    </row>
    <row r="84" spans="2:9" x14ac:dyDescent="0.2">
      <c r="B84" s="11"/>
      <c r="C84" s="11" t="str">
        <f>B52</f>
        <v>TPSIHFO1N</v>
      </c>
      <c r="D84" s="11" t="str">
        <f>C52</f>
        <v>Transport Passengers Ship International- Heavy fuel oil - New</v>
      </c>
      <c r="E84" s="11" t="s">
        <v>74</v>
      </c>
      <c r="F84" s="11" t="s">
        <v>75</v>
      </c>
      <c r="G84" s="11"/>
      <c r="H84" s="11"/>
      <c r="I84" s="11" t="s">
        <v>90</v>
      </c>
    </row>
    <row r="85" spans="2:9" x14ac:dyDescent="0.2">
      <c r="B85" s="11"/>
      <c r="C85" s="11"/>
      <c r="D85" s="11"/>
      <c r="E85" s="11"/>
      <c r="F85" s="11"/>
      <c r="G85" s="11"/>
      <c r="H85" s="11"/>
      <c r="I85" s="11"/>
    </row>
    <row r="88" spans="2:9" ht="12.75" customHeight="1" x14ac:dyDescent="0.2">
      <c r="B88" s="5" t="s">
        <v>16</v>
      </c>
      <c r="C88" s="12"/>
      <c r="D88" s="3"/>
      <c r="E88" s="3"/>
      <c r="F88" s="3"/>
    </row>
    <row r="89" spans="2:9" x14ac:dyDescent="0.2">
      <c r="B89" s="13" t="s">
        <v>5</v>
      </c>
      <c r="C89" s="14" t="s">
        <v>38</v>
      </c>
    </row>
    <row r="90" spans="2:9" ht="13.5" thickBot="1" x14ac:dyDescent="0.25">
      <c r="B90" s="15" t="s">
        <v>39</v>
      </c>
      <c r="C90" s="15"/>
    </row>
    <row r="91" spans="2:9" x14ac:dyDescent="0.2">
      <c r="B91" s="16"/>
      <c r="C91" s="16"/>
    </row>
    <row r="92" spans="2:9" x14ac:dyDescent="0.2">
      <c r="B92" s="3"/>
      <c r="C92" s="3"/>
      <c r="D92" s="3"/>
      <c r="E92" s="3"/>
      <c r="F92" s="3"/>
    </row>
    <row r="93" spans="2:9" x14ac:dyDescent="0.2">
      <c r="B93" s="3"/>
      <c r="C93" s="3"/>
      <c r="D93" s="3"/>
      <c r="E93" s="3"/>
      <c r="F93" s="3"/>
    </row>
    <row r="94" spans="2:9" x14ac:dyDescent="0.2">
      <c r="C94" s="5" t="s">
        <v>61</v>
      </c>
      <c r="D94" s="12"/>
    </row>
    <row r="95" spans="2:9" x14ac:dyDescent="0.2">
      <c r="B95" s="13" t="s">
        <v>1</v>
      </c>
      <c r="C95" s="13" t="s">
        <v>5</v>
      </c>
      <c r="D95" s="14" t="s">
        <v>38</v>
      </c>
    </row>
    <row r="96" spans="2:9" ht="13.5" thickBot="1" x14ac:dyDescent="0.25">
      <c r="B96" s="15" t="s">
        <v>39</v>
      </c>
      <c r="C96" s="15"/>
      <c r="D96" s="15"/>
    </row>
    <row r="97" spans="2:4" x14ac:dyDescent="0.2">
      <c r="B97" s="16"/>
      <c r="C97" s="16"/>
      <c r="D97" s="16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77"/>
  <sheetViews>
    <sheetView topLeftCell="A15" zoomScale="90" zoomScaleNormal="90" workbookViewId="0">
      <selection activeCell="H10" sqref="H10:H39"/>
    </sheetView>
  </sheetViews>
  <sheetFormatPr defaultRowHeight="12.75" x14ac:dyDescent="0.2"/>
  <cols>
    <col min="1" max="1" width="2.85546875" customWidth="1"/>
    <col min="2" max="2" width="19.140625" customWidth="1"/>
    <col min="3" max="3" width="49.42578125" customWidth="1"/>
    <col min="4" max="4" width="10.140625" customWidth="1"/>
    <col min="5" max="5" width="11.85546875" customWidth="1"/>
    <col min="6" max="6" width="15.140625" customWidth="1"/>
    <col min="7" max="7" width="15.85546875" customWidth="1"/>
    <col min="8" max="8" width="11.85546875" customWidth="1"/>
    <col min="9" max="9" width="11.42578125" customWidth="1"/>
    <col min="10" max="11" width="12.140625" bestFit="1" customWidth="1"/>
    <col min="12" max="12" width="15.140625" bestFit="1" customWidth="1"/>
    <col min="13" max="13" width="13" customWidth="1"/>
    <col min="14" max="14" width="23.85546875" customWidth="1"/>
    <col min="15" max="15" width="12.28515625" customWidth="1"/>
    <col min="16" max="16" width="13.85546875" customWidth="1"/>
    <col min="17" max="17" width="11.42578125" customWidth="1"/>
    <col min="18" max="19" width="10.5703125" bestFit="1" customWidth="1"/>
    <col min="20" max="20" width="13.85546875" customWidth="1"/>
    <col min="21" max="21" width="13.140625" bestFit="1" customWidth="1"/>
  </cols>
  <sheetData>
    <row r="2" spans="2:18" ht="23.25" x14ac:dyDescent="0.35">
      <c r="B2" s="21" t="s">
        <v>49</v>
      </c>
    </row>
    <row r="3" spans="2:18" ht="15.75" x14ac:dyDescent="0.25">
      <c r="B3" s="20"/>
    </row>
    <row r="4" spans="2:18" ht="15.75" x14ac:dyDescent="0.25">
      <c r="B4" s="20"/>
    </row>
    <row r="5" spans="2:18" x14ac:dyDescent="0.2">
      <c r="F5" s="2"/>
      <c r="G5" s="2"/>
      <c r="H5" s="1"/>
      <c r="I5" s="1"/>
      <c r="J5" s="1"/>
      <c r="K5" s="3"/>
    </row>
    <row r="6" spans="2:18" ht="18" x14ac:dyDescent="0.25">
      <c r="B6" s="19" t="s">
        <v>48</v>
      </c>
      <c r="E6" s="1"/>
      <c r="G6" s="4" t="s">
        <v>0</v>
      </c>
      <c r="H6" s="1"/>
      <c r="I6" s="1"/>
      <c r="J6" s="1"/>
      <c r="K6" s="3"/>
    </row>
    <row r="7" spans="2:18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53</v>
      </c>
      <c r="G7" s="17" t="s">
        <v>51</v>
      </c>
      <c r="H7" s="17" t="s">
        <v>60</v>
      </c>
      <c r="I7" s="17" t="s">
        <v>15</v>
      </c>
      <c r="J7" s="17" t="s">
        <v>55</v>
      </c>
      <c r="K7" s="17" t="s">
        <v>58</v>
      </c>
      <c r="L7" s="17" t="s">
        <v>57</v>
      </c>
      <c r="M7" s="17" t="s">
        <v>56</v>
      </c>
      <c r="N7" s="17" t="s">
        <v>119</v>
      </c>
    </row>
    <row r="8" spans="2:18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54</v>
      </c>
      <c r="G8" s="18" t="s">
        <v>52</v>
      </c>
      <c r="H8" s="18" t="s">
        <v>45</v>
      </c>
      <c r="I8" s="18" t="s">
        <v>59</v>
      </c>
      <c r="J8" s="18" t="s">
        <v>44</v>
      </c>
      <c r="K8" s="18" t="s">
        <v>46</v>
      </c>
      <c r="L8" s="18" t="s">
        <v>47</v>
      </c>
      <c r="M8" s="18" t="s">
        <v>43</v>
      </c>
      <c r="N8" s="18" t="s">
        <v>117</v>
      </c>
      <c r="O8"/>
      <c r="P8"/>
      <c r="Q8"/>
      <c r="R8"/>
    </row>
    <row r="9" spans="2:18" s="3" customFormat="1" ht="13.5" thickBot="1" x14ac:dyDescent="0.25">
      <c r="B9" s="22" t="s">
        <v>50</v>
      </c>
      <c r="C9" s="23"/>
      <c r="D9" s="23"/>
      <c r="E9" s="22"/>
      <c r="F9" s="23"/>
      <c r="G9" s="23"/>
      <c r="H9" s="22" t="s">
        <v>54</v>
      </c>
      <c r="I9" s="22"/>
      <c r="J9" s="22" t="s">
        <v>91</v>
      </c>
      <c r="K9" s="22" t="s">
        <v>92</v>
      </c>
      <c r="L9" s="22" t="s">
        <v>93</v>
      </c>
      <c r="M9" s="22" t="s">
        <v>118</v>
      </c>
      <c r="N9" s="22" t="s">
        <v>113</v>
      </c>
      <c r="O9"/>
      <c r="P9"/>
      <c r="Q9"/>
      <c r="R9"/>
    </row>
    <row r="10" spans="2:18" ht="12.95" customHeight="1" x14ac:dyDescent="0.2">
      <c r="B10" s="11" t="str">
        <f>LEFT(E10,4)&amp;RIGHT(D10,3)&amp;"1N"</f>
        <v>TFRELC1N</v>
      </c>
      <c r="C10" s="11" t="s">
        <v>95</v>
      </c>
      <c r="D10" s="11" t="s">
        <v>70</v>
      </c>
      <c r="E10" s="11" t="s">
        <v>96</v>
      </c>
      <c r="F10" s="11">
        <v>2015</v>
      </c>
      <c r="G10" s="11" t="s">
        <v>73</v>
      </c>
      <c r="H10" s="11">
        <v>2015</v>
      </c>
      <c r="I10" s="24">
        <v>28.1</v>
      </c>
      <c r="J10" s="11">
        <v>30</v>
      </c>
      <c r="K10" s="24">
        <v>5724</v>
      </c>
      <c r="L10" s="31">
        <v>3.225E-3</v>
      </c>
      <c r="M10" s="11">
        <v>26000</v>
      </c>
      <c r="N10" s="24">
        <v>149.83974358974359</v>
      </c>
    </row>
    <row r="11" spans="2:18" ht="12.95" customHeight="1" x14ac:dyDescent="0.2">
      <c r="B11" s="11"/>
      <c r="C11" s="11"/>
      <c r="D11" s="11"/>
      <c r="E11" s="11" t="s">
        <v>96</v>
      </c>
      <c r="F11" s="11">
        <v>2020</v>
      </c>
      <c r="G11" s="11" t="s">
        <v>73</v>
      </c>
      <c r="H11" s="11"/>
      <c r="I11" s="24">
        <f>I10*1.04</f>
        <v>29.224000000000004</v>
      </c>
      <c r="J11" s="11"/>
      <c r="K11" s="24"/>
      <c r="L11" s="31"/>
      <c r="M11" s="11"/>
      <c r="N11" s="24"/>
    </row>
    <row r="12" spans="2:18" ht="12.95" customHeight="1" x14ac:dyDescent="0.2">
      <c r="B12" s="11"/>
      <c r="C12" s="11"/>
      <c r="D12" s="11"/>
      <c r="E12" s="11" t="s">
        <v>96</v>
      </c>
      <c r="F12" s="11">
        <v>2035</v>
      </c>
      <c r="G12" s="11" t="s">
        <v>73</v>
      </c>
      <c r="H12" s="11"/>
      <c r="I12" s="24">
        <f>I10*1.06</f>
        <v>29.786000000000001</v>
      </c>
      <c r="J12" s="11"/>
      <c r="K12" s="24"/>
      <c r="L12" s="31"/>
      <c r="M12" s="11"/>
      <c r="N12" s="24"/>
    </row>
    <row r="13" spans="2:18" ht="12.95" customHeight="1" x14ac:dyDescent="0.2">
      <c r="B13" s="11" t="str">
        <f>LEFT(E13,3)&amp;RIGHT(D13,3)&amp;"1N"</f>
        <v>TFRDSL1N</v>
      </c>
      <c r="C13" s="11" t="s">
        <v>97</v>
      </c>
      <c r="D13" s="11" t="s">
        <v>67</v>
      </c>
      <c r="E13" s="11" t="s">
        <v>96</v>
      </c>
      <c r="F13" s="11">
        <v>2015</v>
      </c>
      <c r="G13" s="11" t="s">
        <v>73</v>
      </c>
      <c r="H13" s="11">
        <v>2015</v>
      </c>
      <c r="I13" s="24">
        <v>14.99</v>
      </c>
      <c r="J13" s="11">
        <v>30</v>
      </c>
      <c r="K13" s="24">
        <v>6696</v>
      </c>
      <c r="L13" s="31">
        <v>3.225E-3</v>
      </c>
      <c r="M13" s="11">
        <v>26000</v>
      </c>
      <c r="N13" s="24">
        <v>149.83974358974359</v>
      </c>
    </row>
    <row r="14" spans="2:18" ht="12.95" customHeight="1" x14ac:dyDescent="0.2">
      <c r="B14" s="11"/>
      <c r="C14" s="11"/>
      <c r="D14" s="11"/>
      <c r="E14" s="11" t="s">
        <v>96</v>
      </c>
      <c r="F14" s="11">
        <v>2020</v>
      </c>
      <c r="G14" s="11" t="s">
        <v>73</v>
      </c>
      <c r="H14" s="11"/>
      <c r="I14" s="24">
        <f>1.07*I13</f>
        <v>16.039300000000001</v>
      </c>
      <c r="J14" s="11"/>
      <c r="K14" s="24"/>
      <c r="L14" s="31"/>
      <c r="M14" s="11"/>
      <c r="N14" s="24"/>
    </row>
    <row r="15" spans="2:18" ht="12.95" customHeight="1" x14ac:dyDescent="0.2">
      <c r="B15" s="11"/>
      <c r="C15" s="11"/>
      <c r="D15" s="11"/>
      <c r="E15" s="11" t="s">
        <v>96</v>
      </c>
      <c r="F15" s="11">
        <v>2035</v>
      </c>
      <c r="G15" s="11" t="s">
        <v>73</v>
      </c>
      <c r="H15" s="11"/>
      <c r="I15" s="24">
        <f>1.15*I13</f>
        <v>17.238499999999998</v>
      </c>
      <c r="J15" s="11"/>
      <c r="K15" s="24"/>
      <c r="L15" s="31"/>
      <c r="M15" s="11"/>
      <c r="N15" s="24"/>
    </row>
    <row r="16" spans="2:18" ht="12.95" customHeight="1" x14ac:dyDescent="0.2">
      <c r="B16" s="11" t="str">
        <f>LEFT(E16,3)&amp;RIGHT(D16,3)&amp;"1N"</f>
        <v>TFTDSL1N</v>
      </c>
      <c r="C16" s="11" t="s">
        <v>98</v>
      </c>
      <c r="D16" s="11" t="s">
        <v>67</v>
      </c>
      <c r="E16" s="11" t="s">
        <v>99</v>
      </c>
      <c r="F16" s="11">
        <v>2015</v>
      </c>
      <c r="G16" s="11" t="s">
        <v>73</v>
      </c>
      <c r="H16" s="11">
        <v>2015</v>
      </c>
      <c r="I16" s="24">
        <v>155.5</v>
      </c>
      <c r="J16" s="11">
        <v>6</v>
      </c>
      <c r="K16" s="24">
        <v>101.38500000000001</v>
      </c>
      <c r="L16" s="31">
        <v>3.3011933174224346E-4</v>
      </c>
      <c r="M16" s="11">
        <v>62850</v>
      </c>
      <c r="N16" s="24">
        <v>9.7691542218892238</v>
      </c>
    </row>
    <row r="17" spans="2:14" ht="12.95" customHeight="1" x14ac:dyDescent="0.2">
      <c r="B17" s="11"/>
      <c r="C17" s="11"/>
      <c r="D17" s="11"/>
      <c r="E17" s="11" t="s">
        <v>99</v>
      </c>
      <c r="F17" s="11">
        <v>2020</v>
      </c>
      <c r="G17" s="11" t="s">
        <v>73</v>
      </c>
      <c r="H17" s="11"/>
      <c r="I17" s="24">
        <f>1.05*I16</f>
        <v>163.27500000000001</v>
      </c>
      <c r="J17" s="11"/>
      <c r="K17" s="24"/>
      <c r="L17" s="31"/>
      <c r="M17" s="11"/>
      <c r="N17" s="24"/>
    </row>
    <row r="18" spans="2:14" ht="12.95" customHeight="1" x14ac:dyDescent="0.2">
      <c r="B18" s="11"/>
      <c r="C18" s="11"/>
      <c r="D18" s="11"/>
      <c r="E18" s="11" t="s">
        <v>99</v>
      </c>
      <c r="F18" s="11">
        <v>2035</v>
      </c>
      <c r="G18" s="11" t="s">
        <v>73</v>
      </c>
      <c r="H18" s="11"/>
      <c r="I18" s="24">
        <f>1.1*I16</f>
        <v>171.05</v>
      </c>
      <c r="J18" s="11"/>
      <c r="K18" s="24"/>
      <c r="L18" s="31"/>
      <c r="M18" s="11"/>
      <c r="N18" s="24"/>
    </row>
    <row r="19" spans="2:14" ht="12.95" customHeight="1" x14ac:dyDescent="0.2">
      <c r="B19" s="11" t="str">
        <f>LEFT(E19,3)&amp;RIGHT(D19,3)&amp;"1N"</f>
        <v>TFTNGA1N</v>
      </c>
      <c r="C19" s="11" t="s">
        <v>100</v>
      </c>
      <c r="D19" s="11" t="s">
        <v>69</v>
      </c>
      <c r="E19" s="11" t="s">
        <v>99</v>
      </c>
      <c r="F19" s="11">
        <v>2015</v>
      </c>
      <c r="G19" s="11" t="s">
        <v>73</v>
      </c>
      <c r="H19" s="11">
        <v>2015</v>
      </c>
      <c r="I19" s="24">
        <f>0.777622611910069*I16</f>
        <v>120.92031615201573</v>
      </c>
      <c r="J19" s="11">
        <v>6</v>
      </c>
      <c r="K19" s="24">
        <v>112.05</v>
      </c>
      <c r="L19" s="31">
        <v>3.4281622911694511E-4</v>
      </c>
      <c r="M19" s="11">
        <v>62850</v>
      </c>
      <c r="N19" s="24">
        <v>9.7691542218892238</v>
      </c>
    </row>
    <row r="20" spans="2:14" ht="12.95" customHeight="1" x14ac:dyDescent="0.2">
      <c r="B20" s="11"/>
      <c r="C20" s="11"/>
      <c r="D20" s="11"/>
      <c r="E20" s="11" t="s">
        <v>99</v>
      </c>
      <c r="F20" s="11">
        <v>2020</v>
      </c>
      <c r="G20" s="11" t="s">
        <v>73</v>
      </c>
      <c r="H20" s="11"/>
      <c r="I20" s="24">
        <f>0.84*I19</f>
        <v>101.57306556769321</v>
      </c>
      <c r="J20" s="11"/>
      <c r="K20" s="24"/>
      <c r="L20" s="31"/>
      <c r="M20" s="11"/>
      <c r="N20" s="24"/>
    </row>
    <row r="21" spans="2:14" ht="12.95" customHeight="1" x14ac:dyDescent="0.2">
      <c r="B21" s="11"/>
      <c r="C21" s="11"/>
      <c r="D21" s="11"/>
      <c r="E21" s="11" t="s">
        <v>99</v>
      </c>
      <c r="F21" s="11">
        <v>2035</v>
      </c>
      <c r="G21" s="11" t="s">
        <v>73</v>
      </c>
      <c r="H21" s="11"/>
      <c r="I21" s="24">
        <f>0.92*I19</f>
        <v>111.24669085985448</v>
      </c>
      <c r="J21" s="11"/>
      <c r="K21" s="24"/>
      <c r="L21" s="31"/>
      <c r="M21" s="11"/>
      <c r="N21" s="24"/>
    </row>
    <row r="22" spans="2:14" ht="12.95" customHeight="1" x14ac:dyDescent="0.2">
      <c r="B22" s="11" t="str">
        <f>LEFT(E22,3)&amp;RIGHT(D22,3)&amp;"1N"</f>
        <v>TFVDSL1N</v>
      </c>
      <c r="C22" s="11" t="s">
        <v>101</v>
      </c>
      <c r="D22" s="11" t="s">
        <v>67</v>
      </c>
      <c r="E22" s="11" t="s">
        <v>102</v>
      </c>
      <c r="F22" s="11">
        <v>2015</v>
      </c>
      <c r="G22" s="11" t="s">
        <v>73</v>
      </c>
      <c r="H22" s="11">
        <v>2015</v>
      </c>
      <c r="I22" s="24">
        <v>205</v>
      </c>
      <c r="J22" s="11">
        <v>16</v>
      </c>
      <c r="K22" s="24">
        <v>25.579411199999999</v>
      </c>
      <c r="L22" s="31">
        <v>5.5859999999999997E-5</v>
      </c>
      <c r="M22" s="11">
        <v>17400</v>
      </c>
      <c r="N22" s="24">
        <v>0.4568110072222531</v>
      </c>
    </row>
    <row r="23" spans="2:14" ht="12.95" customHeight="1" x14ac:dyDescent="0.2">
      <c r="B23" s="11"/>
      <c r="C23" s="11"/>
      <c r="D23" s="11"/>
      <c r="E23" s="11" t="s">
        <v>102</v>
      </c>
      <c r="F23" s="11">
        <v>2020</v>
      </c>
      <c r="G23" s="11" t="s">
        <v>73</v>
      </c>
      <c r="H23" s="11"/>
      <c r="I23" s="24">
        <f>1.19*I22</f>
        <v>243.95</v>
      </c>
      <c r="J23" s="11"/>
      <c r="K23" s="24"/>
      <c r="L23" s="31"/>
      <c r="M23" s="11"/>
      <c r="N23" s="24"/>
    </row>
    <row r="24" spans="2:14" ht="12.95" customHeight="1" x14ac:dyDescent="0.2">
      <c r="B24" s="11"/>
      <c r="C24" s="11"/>
      <c r="D24" s="11"/>
      <c r="E24" s="11" t="s">
        <v>102</v>
      </c>
      <c r="F24" s="11">
        <v>2035</v>
      </c>
      <c r="G24" s="11" t="s">
        <v>73</v>
      </c>
      <c r="H24" s="11"/>
      <c r="I24" s="24">
        <f>1.28*I22</f>
        <v>262.39999999999998</v>
      </c>
      <c r="J24" s="11"/>
      <c r="K24" s="24"/>
      <c r="L24" s="31"/>
      <c r="M24" s="11"/>
      <c r="N24" s="24"/>
    </row>
    <row r="25" spans="2:14" ht="12.95" customHeight="1" x14ac:dyDescent="0.2">
      <c r="B25" s="11" t="str">
        <f>LEFT(E25,3)&amp;RIGHT(D25,3)&amp;"1N"</f>
        <v>TFVGSL1N</v>
      </c>
      <c r="C25" s="11" t="s">
        <v>103</v>
      </c>
      <c r="D25" s="11" t="s">
        <v>68</v>
      </c>
      <c r="E25" s="11" t="s">
        <v>102</v>
      </c>
      <c r="F25" s="11">
        <v>2015</v>
      </c>
      <c r="G25" s="11" t="s">
        <v>73</v>
      </c>
      <c r="H25" s="11">
        <v>2015</v>
      </c>
      <c r="I25" s="24">
        <f>1.2*I22</f>
        <v>246</v>
      </c>
      <c r="J25" s="11">
        <v>16</v>
      </c>
      <c r="K25" s="24">
        <v>23.2572312</v>
      </c>
      <c r="L25" s="31">
        <v>5.5859999999999997E-5</v>
      </c>
      <c r="M25" s="11">
        <v>17400</v>
      </c>
      <c r="N25" s="24">
        <v>0.4568110072222531</v>
      </c>
    </row>
    <row r="26" spans="2:14" ht="12.95" customHeight="1" x14ac:dyDescent="0.2">
      <c r="B26" s="27"/>
      <c r="C26" s="27"/>
      <c r="D26" s="27"/>
      <c r="E26" s="11" t="s">
        <v>102</v>
      </c>
      <c r="F26" s="27">
        <v>2020</v>
      </c>
      <c r="G26" s="27" t="s">
        <v>73</v>
      </c>
      <c r="H26" s="27"/>
      <c r="I26" s="28">
        <f>1.19*I25</f>
        <v>292.74</v>
      </c>
      <c r="J26" s="27"/>
      <c r="K26" s="28"/>
      <c r="L26" s="33"/>
      <c r="M26" s="11"/>
      <c r="N26" s="24"/>
    </row>
    <row r="27" spans="2:14" ht="12.95" customHeight="1" x14ac:dyDescent="0.2">
      <c r="B27" s="27"/>
      <c r="C27" s="27"/>
      <c r="D27" s="27"/>
      <c r="E27" s="11" t="s">
        <v>102</v>
      </c>
      <c r="F27" s="27">
        <v>2035</v>
      </c>
      <c r="G27" s="27" t="s">
        <v>73</v>
      </c>
      <c r="H27" s="27"/>
      <c r="I27" s="28">
        <f>1.28*I25</f>
        <v>314.88</v>
      </c>
      <c r="J27" s="27"/>
      <c r="K27" s="28"/>
      <c r="L27" s="33"/>
      <c r="M27" s="11"/>
      <c r="N27" s="24"/>
    </row>
    <row r="28" spans="2:14" ht="12.95" customHeight="1" x14ac:dyDescent="0.2">
      <c r="B28" s="27" t="str">
        <f>LEFT(E28,3)&amp;RIGHT(D28,3)&amp;"1N"</f>
        <v>TFVELC1N</v>
      </c>
      <c r="C28" s="27" t="s">
        <v>104</v>
      </c>
      <c r="D28" s="27" t="s">
        <v>70</v>
      </c>
      <c r="E28" s="11" t="s">
        <v>102</v>
      </c>
      <c r="F28" s="27">
        <v>2015</v>
      </c>
      <c r="G28" s="27" t="s">
        <v>73</v>
      </c>
      <c r="H28" s="27">
        <v>2015</v>
      </c>
      <c r="I28" s="28">
        <f>4.84271097456812*I22</f>
        <v>992.75574978646455</v>
      </c>
      <c r="J28" s="27">
        <v>16</v>
      </c>
      <c r="K28" s="28">
        <v>24.3630198</v>
      </c>
      <c r="L28" s="33">
        <v>1.2289200000000001E-5</v>
      </c>
      <c r="M28" s="11">
        <v>17400</v>
      </c>
      <c r="N28" s="24">
        <v>0.4568110072222531</v>
      </c>
    </row>
    <row r="29" spans="2:14" ht="12.95" customHeight="1" x14ac:dyDescent="0.2">
      <c r="B29" s="27"/>
      <c r="C29" s="27"/>
      <c r="D29" s="27"/>
      <c r="E29" s="11" t="s">
        <v>102</v>
      </c>
      <c r="F29" s="27">
        <v>2020</v>
      </c>
      <c r="G29" s="27" t="s">
        <v>73</v>
      </c>
      <c r="H29" s="27"/>
      <c r="I29" s="28">
        <f>5*I22</f>
        <v>1025</v>
      </c>
      <c r="J29" s="27"/>
      <c r="K29" s="28"/>
      <c r="L29" s="33"/>
      <c r="M29" s="11"/>
      <c r="N29" s="24"/>
    </row>
    <row r="30" spans="2:14" ht="12.95" customHeight="1" x14ac:dyDescent="0.2">
      <c r="B30" s="27"/>
      <c r="C30" s="27"/>
      <c r="D30" s="27"/>
      <c r="E30" s="11" t="s">
        <v>102</v>
      </c>
      <c r="F30" s="27">
        <v>2035</v>
      </c>
      <c r="G30" s="27" t="s">
        <v>73</v>
      </c>
      <c r="H30" s="27"/>
      <c r="I30" s="28">
        <f>5*I22</f>
        <v>1025</v>
      </c>
      <c r="J30" s="27"/>
      <c r="K30" s="28"/>
      <c r="L30" s="33"/>
      <c r="M30" s="11"/>
      <c r="N30" s="24"/>
    </row>
    <row r="31" spans="2:14" ht="12.95" customHeight="1" x14ac:dyDescent="0.2">
      <c r="B31" s="27" t="str">
        <f>LEFT(E31,4)&amp;RIGHT(D31,3)&amp;"1N"</f>
        <v>TFAIKER1N</v>
      </c>
      <c r="C31" s="27" t="s">
        <v>105</v>
      </c>
      <c r="D31" s="27" t="s">
        <v>80</v>
      </c>
      <c r="E31" s="27" t="s">
        <v>106</v>
      </c>
      <c r="F31" s="27">
        <v>2015</v>
      </c>
      <c r="G31" s="27" t="s">
        <v>73</v>
      </c>
      <c r="H31" s="27">
        <v>2015</v>
      </c>
      <c r="I31" s="28">
        <v>13.311</v>
      </c>
      <c r="J31" s="27">
        <v>30</v>
      </c>
      <c r="K31" s="28">
        <v>71280</v>
      </c>
      <c r="L31" s="33">
        <v>5.5310000000000003E-3</v>
      </c>
      <c r="M31" s="27">
        <v>2800000</v>
      </c>
      <c r="N31" s="28">
        <v>80</v>
      </c>
    </row>
    <row r="32" spans="2:14" ht="12.95" customHeight="1" x14ac:dyDescent="0.2">
      <c r="B32" s="27"/>
      <c r="C32" s="27"/>
      <c r="D32" s="27"/>
      <c r="E32" s="27" t="s">
        <v>106</v>
      </c>
      <c r="F32" s="27">
        <v>2020</v>
      </c>
      <c r="G32" s="11" t="s">
        <v>73</v>
      </c>
      <c r="H32" s="27"/>
      <c r="I32" s="28">
        <f>I31*1.03</f>
        <v>13.710330000000001</v>
      </c>
      <c r="J32" s="27"/>
      <c r="K32" s="28"/>
      <c r="L32" s="33">
        <v>5.6476518847892307E-3</v>
      </c>
      <c r="M32" s="27"/>
      <c r="N32" s="28"/>
    </row>
    <row r="33" spans="2:14" ht="12.95" customHeight="1" x14ac:dyDescent="0.2">
      <c r="B33" s="25"/>
      <c r="C33" s="25"/>
      <c r="D33" s="25"/>
      <c r="E33" s="25" t="s">
        <v>106</v>
      </c>
      <c r="F33" s="25">
        <v>2035</v>
      </c>
      <c r="G33" s="25" t="s">
        <v>73</v>
      </c>
      <c r="H33" s="25"/>
      <c r="I33" s="26">
        <f>I31*1.103</f>
        <v>14.682033000000001</v>
      </c>
      <c r="J33" s="25"/>
      <c r="K33" s="26"/>
      <c r="L33" s="32">
        <v>5.9494310569448263E-3</v>
      </c>
      <c r="M33" s="25"/>
      <c r="N33" s="26"/>
    </row>
    <row r="34" spans="2:14" ht="12.95" customHeight="1" x14ac:dyDescent="0.2">
      <c r="B34" s="27" t="s">
        <v>107</v>
      </c>
      <c r="C34" s="27" t="s">
        <v>108</v>
      </c>
      <c r="D34" s="27" t="s">
        <v>67</v>
      </c>
      <c r="E34" s="27" t="s">
        <v>109</v>
      </c>
      <c r="F34" s="27">
        <v>2015</v>
      </c>
      <c r="G34" s="11" t="s">
        <v>73</v>
      </c>
      <c r="H34" s="27">
        <v>2015</v>
      </c>
      <c r="I34" s="28">
        <v>3.181</v>
      </c>
      <c r="J34" s="27">
        <v>28</v>
      </c>
      <c r="K34" s="28">
        <v>1782</v>
      </c>
      <c r="L34" s="33">
        <v>5.0172105115634696E-4</v>
      </c>
      <c r="M34" s="37">
        <v>99555.006368801958</v>
      </c>
      <c r="N34" s="28">
        <v>147.2740652467256</v>
      </c>
    </row>
    <row r="35" spans="2:14" ht="12.95" customHeight="1" x14ac:dyDescent="0.2">
      <c r="B35" s="27"/>
      <c r="C35" s="27"/>
      <c r="D35" s="27"/>
      <c r="E35" s="27" t="s">
        <v>109</v>
      </c>
      <c r="F35" s="27">
        <v>2020</v>
      </c>
      <c r="G35" s="11" t="s">
        <v>73</v>
      </c>
      <c r="H35" s="27"/>
      <c r="I35" s="28">
        <f>I34</f>
        <v>3.181</v>
      </c>
      <c r="J35" s="27"/>
      <c r="K35" s="28"/>
      <c r="L35" s="33">
        <v>5.518931562719816E-4</v>
      </c>
      <c r="M35" s="37"/>
      <c r="N35" s="28"/>
    </row>
    <row r="36" spans="2:14" ht="12.95" customHeight="1" x14ac:dyDescent="0.2">
      <c r="B36" s="25"/>
      <c r="C36" s="25"/>
      <c r="D36" s="25"/>
      <c r="E36" s="25" t="s">
        <v>109</v>
      </c>
      <c r="F36" s="25">
        <v>2035</v>
      </c>
      <c r="G36" s="25" t="s">
        <v>73</v>
      </c>
      <c r="H36" s="25"/>
      <c r="I36" s="26">
        <f>I34</f>
        <v>3.181</v>
      </c>
      <c r="J36" s="25"/>
      <c r="K36" s="26"/>
      <c r="L36" s="32">
        <v>6.132146180799794E-4</v>
      </c>
      <c r="M36" s="36"/>
      <c r="N36" s="26"/>
    </row>
    <row r="37" spans="2:14" ht="12.95" customHeight="1" x14ac:dyDescent="0.2">
      <c r="B37" s="27" t="s">
        <v>110</v>
      </c>
      <c r="C37" s="27" t="s">
        <v>111</v>
      </c>
      <c r="D37" s="27" t="s">
        <v>88</v>
      </c>
      <c r="E37" s="27" t="s">
        <v>112</v>
      </c>
      <c r="F37" s="27">
        <v>2015</v>
      </c>
      <c r="G37" s="11" t="s">
        <v>73</v>
      </c>
      <c r="H37" s="27">
        <v>2015</v>
      </c>
      <c r="I37" s="28">
        <v>4.306</v>
      </c>
      <c r="J37" s="27">
        <v>28</v>
      </c>
      <c r="K37" s="28">
        <v>60817.5</v>
      </c>
      <c r="L37" s="33">
        <v>5.0172105115634696E-4</v>
      </c>
      <c r="M37" s="37">
        <v>220565.19204237123</v>
      </c>
      <c r="N37" s="28">
        <v>544.29192855282554</v>
      </c>
    </row>
    <row r="38" spans="2:14" ht="12.95" customHeight="1" x14ac:dyDescent="0.2">
      <c r="B38" s="27"/>
      <c r="C38" s="27"/>
      <c r="D38" s="27"/>
      <c r="E38" s="27" t="s">
        <v>112</v>
      </c>
      <c r="F38" s="27">
        <v>2020</v>
      </c>
      <c r="G38" s="11" t="s">
        <v>73</v>
      </c>
      <c r="H38" s="27"/>
      <c r="I38" s="28">
        <f>I37</f>
        <v>4.306</v>
      </c>
      <c r="J38" s="27"/>
      <c r="K38" s="28"/>
      <c r="L38" s="33">
        <v>5.518931562719816E-4</v>
      </c>
      <c r="M38" s="37"/>
      <c r="N38" s="28"/>
    </row>
    <row r="39" spans="2:14" ht="12.95" customHeight="1" x14ac:dyDescent="0.2">
      <c r="B39" s="25"/>
      <c r="C39" s="25"/>
      <c r="D39" s="25"/>
      <c r="E39" s="25" t="s">
        <v>112</v>
      </c>
      <c r="F39" s="25">
        <v>2035</v>
      </c>
      <c r="G39" s="25" t="s">
        <v>73</v>
      </c>
      <c r="H39" s="25"/>
      <c r="I39" s="26">
        <f>I37</f>
        <v>4.306</v>
      </c>
      <c r="J39" s="25"/>
      <c r="K39" s="26"/>
      <c r="L39" s="32">
        <v>6.132146180799794E-4</v>
      </c>
      <c r="M39" s="36"/>
      <c r="N39" s="26"/>
    </row>
    <row r="40" spans="2:14" ht="12.95" customHeight="1" x14ac:dyDescent="0.2">
      <c r="B40" s="11"/>
      <c r="C40" s="11"/>
      <c r="D40" s="11"/>
      <c r="E40" s="11"/>
      <c r="F40" s="11"/>
      <c r="G40" s="11"/>
      <c r="H40" s="11"/>
      <c r="I40" s="24"/>
      <c r="J40" s="11"/>
      <c r="K40" s="24"/>
      <c r="L40" s="31"/>
      <c r="M40" s="11"/>
      <c r="N40" s="24"/>
    </row>
    <row r="42" spans="2:14" x14ac:dyDescent="0.2">
      <c r="N42" s="3"/>
    </row>
    <row r="45" spans="2:14" x14ac:dyDescent="0.2">
      <c r="B45" s="1" t="s">
        <v>6</v>
      </c>
      <c r="C45" s="3"/>
      <c r="D45" s="3"/>
      <c r="E45" s="3"/>
      <c r="F45" s="3"/>
      <c r="G45" s="3"/>
      <c r="H45" s="3"/>
      <c r="I45" s="3"/>
    </row>
    <row r="46" spans="2:14" x14ac:dyDescent="0.2">
      <c r="B46" s="7" t="s">
        <v>7</v>
      </c>
      <c r="C46" s="7" t="s">
        <v>5</v>
      </c>
      <c r="D46" s="7" t="s">
        <v>8</v>
      </c>
      <c r="E46" s="8" t="s">
        <v>9</v>
      </c>
      <c r="F46" s="8" t="s">
        <v>10</v>
      </c>
      <c r="G46" s="8" t="s">
        <v>11</v>
      </c>
      <c r="H46" s="8" t="s">
        <v>12</v>
      </c>
      <c r="I46" s="8" t="s">
        <v>13</v>
      </c>
    </row>
    <row r="47" spans="2:14" ht="51.75" thickBot="1" x14ac:dyDescent="0.25">
      <c r="B47" s="9" t="s">
        <v>23</v>
      </c>
      <c r="C47" s="9" t="s">
        <v>24</v>
      </c>
      <c r="D47" s="9" t="s">
        <v>25</v>
      </c>
      <c r="E47" s="9" t="s">
        <v>9</v>
      </c>
      <c r="F47" s="9" t="s">
        <v>26</v>
      </c>
      <c r="G47" s="9" t="s">
        <v>27</v>
      </c>
      <c r="H47" s="9" t="s">
        <v>28</v>
      </c>
      <c r="I47" s="9" t="s">
        <v>29</v>
      </c>
    </row>
    <row r="48" spans="2:14" x14ac:dyDescent="0.2">
      <c r="B48" s="11"/>
      <c r="C48" s="11"/>
      <c r="D48" s="11"/>
      <c r="E48" s="11"/>
      <c r="F48" s="11"/>
      <c r="G48" s="11"/>
      <c r="H48" s="11"/>
      <c r="I48" s="11"/>
    </row>
    <row r="52" spans="2:9" x14ac:dyDescent="0.2">
      <c r="B52" s="1" t="s">
        <v>17</v>
      </c>
      <c r="C52" s="1"/>
    </row>
    <row r="53" spans="2:9" x14ac:dyDescent="0.2">
      <c r="B53" s="6" t="s">
        <v>14</v>
      </c>
      <c r="C53" s="6" t="s">
        <v>1</v>
      </c>
      <c r="D53" s="6" t="s">
        <v>2</v>
      </c>
      <c r="E53" s="6" t="s">
        <v>18</v>
      </c>
      <c r="F53" s="6" t="s">
        <v>19</v>
      </c>
      <c r="G53" s="6" t="s">
        <v>20</v>
      </c>
      <c r="H53" s="6" t="s">
        <v>21</v>
      </c>
      <c r="I53" s="6" t="s">
        <v>22</v>
      </c>
    </row>
    <row r="54" spans="2:9" ht="51.75" thickBot="1" x14ac:dyDescent="0.25">
      <c r="B54" s="10" t="s">
        <v>30</v>
      </c>
      <c r="C54" s="10" t="s">
        <v>31</v>
      </c>
      <c r="D54" s="10" t="s">
        <v>32</v>
      </c>
      <c r="E54" s="10" t="s">
        <v>33</v>
      </c>
      <c r="F54" s="10" t="s">
        <v>34</v>
      </c>
      <c r="G54" s="10" t="s">
        <v>35</v>
      </c>
      <c r="H54" s="10" t="s">
        <v>36</v>
      </c>
      <c r="I54" s="10" t="s">
        <v>37</v>
      </c>
    </row>
    <row r="55" spans="2:9" x14ac:dyDescent="0.2">
      <c r="B55" s="11" t="s">
        <v>76</v>
      </c>
      <c r="C55" s="11" t="str">
        <f>B10</f>
        <v>TFRELC1N</v>
      </c>
      <c r="D55" s="11" t="str">
        <f>C10</f>
        <v>Transport Freight Train - Electric - New</v>
      </c>
      <c r="E55" s="11" t="s">
        <v>114</v>
      </c>
      <c r="F55" s="11" t="s">
        <v>75</v>
      </c>
      <c r="G55" s="11"/>
      <c r="H55" s="11"/>
      <c r="I55" s="16" t="s">
        <v>90</v>
      </c>
    </row>
    <row r="56" spans="2:9" x14ac:dyDescent="0.2">
      <c r="B56" s="11"/>
      <c r="C56" s="11" t="str">
        <f>B13</f>
        <v>TFRDSL1N</v>
      </c>
      <c r="D56" s="11" t="str">
        <f>C13</f>
        <v>Transport Freight Train - Diesel Engine - New</v>
      </c>
      <c r="E56" s="11" t="s">
        <v>114</v>
      </c>
      <c r="F56" s="11" t="s">
        <v>75</v>
      </c>
      <c r="G56" s="11"/>
      <c r="H56" s="11"/>
      <c r="I56" s="16" t="s">
        <v>90</v>
      </c>
    </row>
    <row r="57" spans="2:9" x14ac:dyDescent="0.2">
      <c r="B57" s="11"/>
      <c r="C57" s="11" t="str">
        <f>B16</f>
        <v>TFTDSL1N</v>
      </c>
      <c r="D57" s="11" t="str">
        <f>C16</f>
        <v>Transport Freight Truck - Diesel Engine - New</v>
      </c>
      <c r="E57" s="11" t="s">
        <v>114</v>
      </c>
      <c r="F57" s="11" t="s">
        <v>75</v>
      </c>
      <c r="G57" s="11"/>
      <c r="H57" s="11"/>
      <c r="I57" s="16" t="s">
        <v>90</v>
      </c>
    </row>
    <row r="58" spans="2:9" x14ac:dyDescent="0.2">
      <c r="B58" s="11"/>
      <c r="C58" s="11" t="str">
        <f>B19</f>
        <v>TFTNGA1N</v>
      </c>
      <c r="D58" s="11" t="str">
        <f>C19</f>
        <v>Transport Freight Truck - Gas Engine - New</v>
      </c>
      <c r="E58" s="11" t="s">
        <v>114</v>
      </c>
      <c r="F58" s="11" t="s">
        <v>75</v>
      </c>
      <c r="G58" s="11"/>
      <c r="H58" s="11"/>
      <c r="I58" s="16" t="s">
        <v>90</v>
      </c>
    </row>
    <row r="59" spans="2:9" x14ac:dyDescent="0.2">
      <c r="B59" s="11"/>
      <c r="C59" s="11" t="str">
        <f>B22</f>
        <v>TFVDSL1N</v>
      </c>
      <c r="D59" s="11" t="str">
        <f>C22</f>
        <v>Transport Freight Van - Diesel Engine - New</v>
      </c>
      <c r="E59" s="11" t="s">
        <v>114</v>
      </c>
      <c r="F59" s="11" t="s">
        <v>75</v>
      </c>
      <c r="G59" s="11"/>
      <c r="H59" s="11"/>
      <c r="I59" s="16" t="s">
        <v>90</v>
      </c>
    </row>
    <row r="60" spans="2:9" x14ac:dyDescent="0.2">
      <c r="B60" s="11"/>
      <c r="C60" s="11" t="str">
        <f>B25</f>
        <v>TFVGSL1N</v>
      </c>
      <c r="D60" s="11" t="str">
        <f>C25</f>
        <v>Transport Freight Van - Otto Engine - New</v>
      </c>
      <c r="E60" s="11" t="s">
        <v>114</v>
      </c>
      <c r="F60" s="11" t="s">
        <v>75</v>
      </c>
      <c r="G60" s="11"/>
      <c r="H60" s="11"/>
      <c r="I60" s="16" t="s">
        <v>90</v>
      </c>
    </row>
    <row r="61" spans="2:9" x14ac:dyDescent="0.2">
      <c r="B61" s="11"/>
      <c r="C61" s="11" t="str">
        <f>B28</f>
        <v>TFVELC1N</v>
      </c>
      <c r="D61" s="11" t="str">
        <f>C28</f>
        <v>Transport Freight Van - Electricity - New</v>
      </c>
      <c r="E61" s="11" t="s">
        <v>114</v>
      </c>
      <c r="F61" s="11" t="s">
        <v>75</v>
      </c>
      <c r="G61" s="11"/>
      <c r="H61" s="11"/>
      <c r="I61" s="16" t="s">
        <v>90</v>
      </c>
    </row>
    <row r="62" spans="2:9" x14ac:dyDescent="0.2">
      <c r="B62" s="11"/>
      <c r="C62" s="11" t="str">
        <f>B31</f>
        <v>TFAIKER1N</v>
      </c>
      <c r="D62" s="11" t="str">
        <f>C31</f>
        <v>Transport Freight Air International - Kerosene - New</v>
      </c>
      <c r="E62" s="11" t="s">
        <v>114</v>
      </c>
      <c r="F62" s="11" t="s">
        <v>75</v>
      </c>
      <c r="G62" s="11"/>
      <c r="H62" s="11"/>
      <c r="I62" s="16" t="s">
        <v>90</v>
      </c>
    </row>
    <row r="63" spans="2:9" x14ac:dyDescent="0.2">
      <c r="B63" s="11"/>
      <c r="C63" s="11" t="str">
        <f>B34</f>
        <v>TFSNDSL1N</v>
      </c>
      <c r="D63" s="11" t="str">
        <f>C34</f>
        <v>Transport Freight Ship National- Diesel - New</v>
      </c>
      <c r="E63" s="11" t="s">
        <v>114</v>
      </c>
      <c r="F63" s="11" t="s">
        <v>75</v>
      </c>
      <c r="G63" s="11"/>
      <c r="H63" s="11"/>
      <c r="I63" s="16" t="s">
        <v>90</v>
      </c>
    </row>
    <row r="64" spans="2:9" x14ac:dyDescent="0.2">
      <c r="B64" s="11"/>
      <c r="C64" s="11" t="str">
        <f>B37</f>
        <v>TFSIHFO1N</v>
      </c>
      <c r="D64" s="11" t="str">
        <f>C37</f>
        <v>Transport Freight Ship International- Heavy Fuel Oil - New</v>
      </c>
      <c r="E64" s="11" t="s">
        <v>114</v>
      </c>
      <c r="F64" s="11" t="s">
        <v>75</v>
      </c>
      <c r="G64" s="11"/>
      <c r="H64" s="11"/>
      <c r="I64" s="16" t="s">
        <v>90</v>
      </c>
    </row>
    <row r="65" spans="2:9" x14ac:dyDescent="0.2">
      <c r="B65" s="11"/>
      <c r="C65" s="11"/>
      <c r="D65" s="11"/>
      <c r="E65" s="11"/>
      <c r="F65" s="11"/>
      <c r="G65" s="11"/>
      <c r="H65" s="11"/>
      <c r="I65" s="11"/>
    </row>
    <row r="68" spans="2:9" ht="12.75" customHeight="1" x14ac:dyDescent="0.2">
      <c r="B68" s="5" t="s">
        <v>16</v>
      </c>
      <c r="C68" s="12"/>
      <c r="D68" s="3"/>
      <c r="E68" s="3"/>
      <c r="F68" s="3"/>
    </row>
    <row r="69" spans="2:9" x14ac:dyDescent="0.2">
      <c r="B69" s="13" t="s">
        <v>5</v>
      </c>
      <c r="C69" s="14" t="s">
        <v>38</v>
      </c>
    </row>
    <row r="70" spans="2:9" ht="13.5" thickBot="1" x14ac:dyDescent="0.25">
      <c r="B70" s="15" t="s">
        <v>39</v>
      </c>
      <c r="C70" s="15"/>
    </row>
    <row r="71" spans="2:9" x14ac:dyDescent="0.2">
      <c r="B71" s="16"/>
      <c r="C71" s="16"/>
    </row>
    <row r="72" spans="2:9" x14ac:dyDescent="0.2">
      <c r="B72" s="3"/>
      <c r="C72" s="3"/>
      <c r="D72" s="3"/>
      <c r="E72" s="3"/>
      <c r="F72" s="3"/>
    </row>
    <row r="73" spans="2:9" x14ac:dyDescent="0.2">
      <c r="B73" s="3"/>
      <c r="C73" s="3"/>
      <c r="D73" s="3"/>
      <c r="E73" s="3"/>
      <c r="F73" s="3"/>
    </row>
    <row r="74" spans="2:9" x14ac:dyDescent="0.2">
      <c r="C74" s="5" t="s">
        <v>61</v>
      </c>
      <c r="D74" s="12"/>
    </row>
    <row r="75" spans="2:9" x14ac:dyDescent="0.2">
      <c r="B75" s="13" t="s">
        <v>1</v>
      </c>
      <c r="C75" s="13" t="s">
        <v>5</v>
      </c>
      <c r="D75" s="14" t="s">
        <v>38</v>
      </c>
    </row>
    <row r="76" spans="2:9" ht="13.5" thickBot="1" x14ac:dyDescent="0.25">
      <c r="B76" s="15" t="s">
        <v>39</v>
      </c>
      <c r="C76" s="15"/>
      <c r="D76" s="15"/>
    </row>
    <row r="77" spans="2:9" x14ac:dyDescent="0.2">
      <c r="B77" s="16"/>
      <c r="C77" s="16"/>
      <c r="D77" s="16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TRA_Passenger</vt:lpstr>
      <vt:lpstr>TRA_Freight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2017-01-07T23:29:47Z</dcterms:created>
  <dcterms:modified xsi:type="dcterms:W3CDTF">2017-11-10T15:03:24Z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987560451030731</vt:r8>
  </property>
</Properties>
</file>