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2" yWindow="1368" windowWidth="17940" windowHeight="9852"/>
  </bookViews>
  <sheets>
    <sheet name="TRA_Passenger" sheetId="9" r:id="rId1"/>
  </sheets>
  <externalReferences>
    <externalReference r:id="rId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M20" i="9" l="1"/>
  <c r="D47" i="9" l="1"/>
  <c r="C47" i="9"/>
  <c r="M25" i="9"/>
  <c r="M27" i="9"/>
  <c r="M28" i="9" s="1"/>
  <c r="D46" i="9"/>
  <c r="C46" i="9"/>
  <c r="I19" i="9"/>
  <c r="I20" i="9" s="1"/>
  <c r="I21" i="9" s="1"/>
  <c r="N19" i="9"/>
  <c r="M19" i="9"/>
  <c r="M21" i="9" s="1"/>
  <c r="I23" i="9"/>
  <c r="I24" i="9"/>
  <c r="M22" i="9"/>
  <c r="M23" i="9" s="1"/>
  <c r="M24" i="9" s="1"/>
  <c r="D45" i="9"/>
  <c r="C45" i="9"/>
  <c r="I18" i="9"/>
  <c r="I14" i="9"/>
  <c r="I15" i="9" s="1"/>
  <c r="I17" i="9"/>
  <c r="B16" i="9"/>
  <c r="C44" i="9" s="1"/>
  <c r="M14" i="9"/>
  <c r="M15" i="9" s="1"/>
  <c r="B13" i="9"/>
  <c r="I11" i="9"/>
  <c r="I12" i="9" s="1"/>
  <c r="D42" i="9"/>
  <c r="B10" i="9"/>
  <c r="C42" i="9"/>
</calcChain>
</file>

<file path=xl/comments1.xml><?xml version="1.0" encoding="utf-8"?>
<comments xmlns="http://schemas.openxmlformats.org/spreadsheetml/2006/main">
  <authors>
    <author>Author</author>
  </authors>
  <commentList>
    <comment ref="B3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33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33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33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33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0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0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1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<sst xmlns="http://schemas.openxmlformats.org/spreadsheetml/2006/main" count="158" uniqueCount="94">
  <si>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</si>
  <si>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</si>
  <si>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</si>
  <si>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</si>
  <si>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</si>
  <si>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</si>
  <si>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</si>
  <si>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</si>
  <si>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</si>
  <si>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</si>
  <si>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</si>
  <si>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</si>
  <si>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</si>
  <si>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</si>
  <si>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</si>
  <si>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</si>
  <si>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</si>
  <si>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</si>
  <si>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</si>
  <si>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</si>
  <si>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</si>
  <si>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</si>
  <si>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</si>
  <si>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</si>
  <si>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</si>
  <si>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</si>
  <si>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</si>
  <si>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</si>
  <si>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</si>
  <si>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</si>
  <si>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</si>
  <si>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</si>
  <si>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</si>
  <si>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</si>
  <si>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</si>
  <si>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</si>
  <si>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</si>
  <si>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</si>
  <si>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</si>
  <si>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</si>
  <si>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</si>
  <si>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</si>
  <si>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</si>
  <si>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</si>
  <si>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</si>
  <si>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Starting Year</t>
  </si>
  <si>
    <t>Investment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</si>
  <si>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</si>
  <si>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</si>
  <si>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</si>
  <si>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</si>
  <si>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</si>
  <si>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</si>
  <si>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</si>
  <si>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</si>
  <si>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NCAP_TLIFE</t>
  </si>
  <si>
    <t>NCAP_AFA</t>
  </si>
  <si>
    <t>ACT_COST</t>
  </si>
  <si>
    <t>NCAP_COST</t>
  </si>
  <si>
    <t>Technical Efficiency</t>
  </si>
  <si>
    <t>START</t>
  </si>
  <si>
    <t>Transport Passengers Car - Diesel Engine - New</t>
  </si>
  <si>
    <t>TRADSL</t>
  </si>
  <si>
    <t>TPC</t>
  </si>
  <si>
    <t>MEUR2012</t>
  </si>
  <si>
    <t>kvehicles</t>
  </si>
  <si>
    <t>DMD</t>
  </si>
  <si>
    <t>ACTFLO~DEMO~2012</t>
  </si>
  <si>
    <t>yes</t>
  </si>
  <si>
    <t>Years</t>
  </si>
  <si>
    <t>M€/kvehicle</t>
  </si>
  <si>
    <t>M€/(kvehicle*km)</t>
  </si>
  <si>
    <t>Passengers/vehicle</t>
  </si>
  <si>
    <t>Occupancy factor</t>
  </si>
  <si>
    <t>km</t>
  </si>
  <si>
    <t>Transport Passengers Car - Otto Engine - New</t>
  </si>
  <si>
    <t>TRAGSL</t>
  </si>
  <si>
    <t>TPCGSL1N</t>
  </si>
  <si>
    <t>(Mvehic*km)/PJ</t>
  </si>
  <si>
    <t>TRAELC</t>
  </si>
  <si>
    <t>TPR</t>
  </si>
  <si>
    <t>Transport Passengers Rail Other train - Electric - New</t>
  </si>
  <si>
    <t>TPCELC1N</t>
  </si>
  <si>
    <t>TPCGSLH1N</t>
  </si>
  <si>
    <t>TPCELCH1N</t>
  </si>
  <si>
    <t>CEFF-I</t>
  </si>
  <si>
    <t>SHARE-I</t>
  </si>
  <si>
    <t>PRC_CAPACT</t>
  </si>
  <si>
    <t>Capacity to Activity Factor</t>
  </si>
  <si>
    <t>Mpkm</t>
  </si>
  <si>
    <t>Transport Passengers Car -Hybrid Gasoline Engine - New</t>
  </si>
  <si>
    <t>Transport Passengers Car - Battery Electric Vehicle - New</t>
  </si>
  <si>
    <t>Transport Passengers Car - Plug-in Hybrid Electric Vehicle - New</t>
  </si>
  <si>
    <t>SHARE-I~0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</si>
</sst>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"/>
    <numFmt numFmtId="166" formatCode="0.000000"/>
    <numFmt numFmtId="167" formatCode="\Te\x\t"/>
    <numFmt numFmtId="168" formatCode="0.000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1" fillId="0" borderId="0"/>
    <xf numFmtId="0" fontId="1" fillId="0" borderId="0"/>
    <xf numFmtId="0" fontId="3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2" borderId="0" xfId="0" applyFill="1"/>
    <xf numFmtId="0" fontId="8" fillId="0" borderId="0" xfId="0" applyFont="1" applyFill="1"/>
    <xf numFmtId="0" fontId="3" fillId="3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wrapText="1"/>
    </xf>
    <xf numFmtId="0" fontId="3" fillId="2" borderId="0" xfId="0" applyFont="1" applyFill="1"/>
    <xf numFmtId="0" fontId="6" fillId="3" borderId="3" xfId="0" applyFont="1" applyFill="1" applyBorder="1" applyAlignment="1">
      <alignment vertical="center"/>
    </xf>
    <xf numFmtId="0" fontId="3" fillId="4" borderId="2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/>
    </xf>
    <xf numFmtId="2" fontId="0" fillId="2" borderId="0" xfId="0" applyNumberFormat="1" applyFill="1"/>
    <xf numFmtId="0" fontId="0" fillId="2" borderId="0" xfId="0" applyFill="1" applyBorder="1"/>
    <xf numFmtId="2" fontId="0" fillId="2" borderId="0" xfId="0" applyNumberFormat="1" applyFill="1" applyBorder="1"/>
    <xf numFmtId="165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 applyBorder="1"/>
    <xf numFmtId="164" fontId="0" fillId="2" borderId="0" xfId="0" applyNumberFormat="1" applyFill="1" applyBorder="1"/>
    <xf numFmtId="0" fontId="0" fillId="2" borderId="3" xfId="0" applyFill="1" applyBorder="1"/>
    <xf numFmtId="2" fontId="0" fillId="2" borderId="3" xfId="0" applyNumberFormat="1" applyFill="1" applyBorder="1"/>
    <xf numFmtId="165" fontId="0" fillId="2" borderId="3" xfId="0" applyNumberFormat="1" applyFill="1" applyBorder="1"/>
    <xf numFmtId="167" fontId="2" fillId="0" borderId="0" xfId="0" applyNumberFormat="1" applyFont="1"/>
    <xf numFmtId="167" fontId="3" fillId="0" borderId="0" xfId="0" applyNumberFormat="1" applyFont="1"/>
    <xf numFmtId="167" fontId="6" fillId="3" borderId="3" xfId="0" applyNumberFormat="1" applyFont="1" applyFill="1" applyBorder="1"/>
    <xf numFmtId="167" fontId="6" fillId="3" borderId="3" xfId="0" applyNumberFormat="1" applyFont="1" applyFill="1" applyBorder="1" applyAlignment="1">
      <alignment horizontal="left"/>
    </xf>
    <xf numFmtId="167" fontId="3" fillId="4" borderId="2" xfId="1" applyNumberFormat="1" applyFont="1" applyFill="1" applyBorder="1" applyAlignment="1">
      <alignment horizontal="left" wrapText="1"/>
    </xf>
    <xf numFmtId="167" fontId="0" fillId="0" borderId="0" xfId="0" applyNumberFormat="1"/>
    <xf numFmtId="167" fontId="6" fillId="3" borderId="1" xfId="0" applyNumberFormat="1" applyFont="1" applyFill="1" applyBorder="1"/>
    <xf numFmtId="167" fontId="3" fillId="4" borderId="4" xfId="1" applyNumberFormat="1" applyFont="1" applyFill="1" applyBorder="1" applyAlignment="1">
      <alignment horizontal="left" wrapText="1"/>
    </xf>
    <xf numFmtId="167" fontId="0" fillId="2" borderId="0" xfId="0" applyNumberFormat="1" applyFill="1"/>
    <xf numFmtId="0" fontId="6" fillId="3" borderId="1" xfId="4" applyFont="1" applyFill="1" applyBorder="1" applyAlignment="1">
      <alignment horizontal="center" vertical="center" wrapText="1"/>
    </xf>
    <xf numFmtId="168" fontId="0" fillId="2" borderId="0" xfId="0" applyNumberFormat="1" applyFill="1" applyBorder="1"/>
    <xf numFmtId="168" fontId="0" fillId="2" borderId="5" xfId="0" applyNumberFormat="1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6" fillId="3" borderId="3" xfId="0" applyFont="1" applyFill="1" applyBorder="1" applyAlignment="1">
      <alignment horizontal="center" vertical="center"/>
    </xf>
    <xf numFmtId="0" fontId="0" fillId="8" borderId="3" xfId="0" applyFill="1" applyBorder="1"/>
    <xf numFmtId="164" fontId="0" fillId="8" borderId="3" xfId="0" applyNumberFormat="1" applyFill="1" applyBorder="1"/>
    <xf numFmtId="165" fontId="0" fillId="8" borderId="3" xfId="0" applyNumberFormat="1" applyFill="1" applyBorder="1"/>
    <xf numFmtId="168" fontId="0" fillId="2" borderId="3" xfId="0" applyNumberFormat="1" applyFill="1" applyBorder="1"/>
    <xf numFmtId="0" fontId="0" fillId="8" borderId="0" xfId="0" applyFill="1" applyBorder="1"/>
    <xf numFmtId="164" fontId="0" fillId="8" borderId="0" xfId="0" applyNumberFormat="1" applyFill="1" applyBorder="1"/>
    <xf numFmtId="165" fontId="0" fillId="8" borderId="0" xfId="0" applyNumberFormat="1" applyFill="1" applyBorder="1"/>
    <xf numFmtId="166" fontId="0" fillId="8" borderId="0" xfId="0" applyNumberFormat="1" applyFill="1" applyBorder="1"/>
  </cellXfs>
  <cellStyles count="5">
    <cellStyle name="Normal" xfId="0" builtinId="0"/>
    <cellStyle name="Normal 10" xfId="1"/>
    <cellStyle name="Normal 10 3" xfId="2"/>
    <cellStyle name="Normal 4" xfId="4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55"/>
  <sheetViews>
    <sheetView tabSelected="1" zoomScale="70" zoomScaleNormal="70" workbookViewId="0">
      <selection activeCell="R8" sqref="R8"/>
    </sheetView>
  </sheetViews>
  <sheetFormatPr defaultRowHeight="13.2" x14ac:dyDescent="0.25"/>
  <cols>
    <col min="1" max="1" width="2.88671875" customWidth="1"/>
    <col min="2" max="2" width="19.109375" customWidth="1"/>
    <col min="3" max="3" width="53.21875" customWidth="1"/>
    <col min="4" max="4" width="13" customWidth="1"/>
    <col min="5" max="5" width="11.88671875" customWidth="1"/>
    <col min="6" max="6" width="10" customWidth="1"/>
    <col min="7" max="7" width="11.44140625" customWidth="1"/>
    <col min="8" max="8" width="8.109375" customWidth="1"/>
    <col min="9" max="9" width="13.5546875" bestFit="1" customWidth="1"/>
    <col min="10" max="10" width="12.109375" bestFit="1" customWidth="1"/>
    <col min="11" max="11" width="12.33203125" bestFit="1" customWidth="1"/>
    <col min="12" max="12" width="15.33203125" bestFit="1" customWidth="1"/>
    <col min="13" max="13" width="11.5546875" customWidth="1"/>
    <col min="14" max="14" width="16.5546875" bestFit="1" customWidth="1"/>
    <col min="15" max="15" width="12.33203125" customWidth="1"/>
    <col min="16" max="16" width="13.88671875" customWidth="1"/>
    <col min="17" max="17" width="11.44140625" customWidth="1"/>
    <col min="18" max="18" width="12" bestFit="1" customWidth="1"/>
    <col min="19" max="19" width="10.5546875" bestFit="1" customWidth="1"/>
    <col min="20" max="20" width="13.88671875" customWidth="1"/>
    <col min="21" max="21" width="13.33203125" bestFit="1" customWidth="1"/>
  </cols>
  <sheetData>
    <row r="2" spans="2:18" ht="22.8" x14ac:dyDescent="0.4">
      <c r="B2" s="16" t="s">
        <v>49</v>
      </c>
    </row>
    <row r="3" spans="2:18" ht="15.6" x14ac:dyDescent="0.3">
      <c r="B3" s="15"/>
    </row>
    <row r="4" spans="2:18" ht="15.6" x14ac:dyDescent="0.3">
      <c r="B4" s="15"/>
    </row>
    <row r="5" spans="2:18" x14ac:dyDescent="0.25">
      <c r="F5" s="2"/>
      <c r="G5" s="2"/>
      <c r="H5" s="1"/>
      <c r="I5" s="1"/>
      <c r="J5" s="1"/>
      <c r="K5" s="3"/>
    </row>
    <row r="6" spans="2:18" ht="17.399999999999999" x14ac:dyDescent="0.3">
      <c r="B6" s="14" t="s">
        <v>48</v>
      </c>
      <c r="E6" s="1"/>
      <c r="G6" s="4" t="s">
        <v>0</v>
      </c>
      <c r="H6" s="1"/>
      <c r="I6" s="1"/>
      <c r="J6" s="1"/>
      <c r="K6" s="3"/>
    </row>
    <row r="7" spans="2:18" ht="26.4" x14ac:dyDescent="0.25">
      <c r="B7" s="12" t="s">
        <v>1</v>
      </c>
      <c r="C7" s="12" t="s">
        <v>2</v>
      </c>
      <c r="D7" s="12" t="s">
        <v>3</v>
      </c>
      <c r="E7" s="12" t="s">
        <v>4</v>
      </c>
      <c r="F7" s="12" t="s">
        <v>53</v>
      </c>
      <c r="G7" s="12" t="s">
        <v>51</v>
      </c>
      <c r="H7" s="12" t="s">
        <v>60</v>
      </c>
      <c r="I7" s="12" t="s">
        <v>15</v>
      </c>
      <c r="J7" s="12" t="s">
        <v>85</v>
      </c>
      <c r="K7" s="12" t="s">
        <v>86</v>
      </c>
      <c r="L7" s="12" t="s">
        <v>55</v>
      </c>
      <c r="M7" s="12" t="s">
        <v>58</v>
      </c>
      <c r="N7" s="43" t="s">
        <v>57</v>
      </c>
      <c r="O7" s="12" t="s">
        <v>56</v>
      </c>
      <c r="P7" s="12" t="s">
        <v>67</v>
      </c>
      <c r="Q7" s="38" t="s">
        <v>87</v>
      </c>
      <c r="R7" s="12" t="s">
        <v>93</v>
      </c>
    </row>
    <row r="8" spans="2:18" s="3" customFormat="1" ht="40.200000000000003" thickBot="1" x14ac:dyDescent="0.3">
      <c r="B8" s="13" t="s">
        <v>40</v>
      </c>
      <c r="C8" s="13" t="s">
        <v>32</v>
      </c>
      <c r="D8" s="13" t="s">
        <v>41</v>
      </c>
      <c r="E8" s="13" t="s">
        <v>42</v>
      </c>
      <c r="F8" s="13" t="s">
        <v>54</v>
      </c>
      <c r="G8" s="13" t="s">
        <v>52</v>
      </c>
      <c r="H8" s="13" t="s">
        <v>45</v>
      </c>
      <c r="I8" s="13" t="s">
        <v>59</v>
      </c>
      <c r="J8" s="13" t="s">
        <v>59</v>
      </c>
      <c r="K8" s="13"/>
      <c r="L8" s="13" t="s">
        <v>44</v>
      </c>
      <c r="M8" s="13" t="s">
        <v>46</v>
      </c>
      <c r="N8" s="13" t="s">
        <v>47</v>
      </c>
      <c r="O8" s="13" t="s">
        <v>43</v>
      </c>
      <c r="P8" s="13" t="s">
        <v>73</v>
      </c>
      <c r="Q8" s="13" t="s">
        <v>88</v>
      </c>
      <c r="R8" s="13"/>
    </row>
    <row r="9" spans="2:18" s="3" customFormat="1" ht="14.4" thickBot="1" x14ac:dyDescent="0.35">
      <c r="B9" s="17" t="s">
        <v>50</v>
      </c>
      <c r="C9" s="18"/>
      <c r="D9" s="18"/>
      <c r="E9" s="17"/>
      <c r="F9" s="18"/>
      <c r="G9" s="18"/>
      <c r="H9" s="17" t="s">
        <v>54</v>
      </c>
      <c r="I9" s="17" t="s">
        <v>78</v>
      </c>
      <c r="J9" s="17" t="s">
        <v>78</v>
      </c>
      <c r="K9" s="17"/>
      <c r="L9" s="17" t="s">
        <v>69</v>
      </c>
      <c r="M9" s="17" t="s">
        <v>70</v>
      </c>
      <c r="N9" s="17" t="s">
        <v>71</v>
      </c>
      <c r="O9" s="17" t="s">
        <v>74</v>
      </c>
      <c r="P9" s="17" t="s">
        <v>72</v>
      </c>
      <c r="Q9" s="17"/>
      <c r="R9" s="17"/>
    </row>
    <row r="10" spans="2:18" ht="12.9" customHeight="1" x14ac:dyDescent="0.25">
      <c r="B10" s="6" t="str">
        <f>LEFT(E10,4)&amp;RIGHT(D10,3)&amp;"1N"</f>
        <v>TPCDSL1N</v>
      </c>
      <c r="C10" s="6" t="s">
        <v>61</v>
      </c>
      <c r="D10" s="6" t="s">
        <v>62</v>
      </c>
      <c r="E10" s="6" t="s">
        <v>63</v>
      </c>
      <c r="F10" s="6">
        <v>2015</v>
      </c>
      <c r="G10" s="6" t="s">
        <v>64</v>
      </c>
      <c r="H10" s="6">
        <v>2015</v>
      </c>
      <c r="I10" s="41">
        <v>296</v>
      </c>
      <c r="J10" s="6"/>
      <c r="K10" s="6"/>
      <c r="L10" s="6">
        <v>12</v>
      </c>
      <c r="M10" s="19">
        <v>21.362726000000002</v>
      </c>
      <c r="N10" s="22">
        <v>4.655E-5</v>
      </c>
      <c r="O10" s="23">
        <v>15373</v>
      </c>
      <c r="P10" s="19">
        <v>1.55</v>
      </c>
      <c r="Q10" s="11">
        <v>1E-3</v>
      </c>
      <c r="R10" s="6"/>
    </row>
    <row r="11" spans="2:18" ht="12.9" customHeight="1" x14ac:dyDescent="0.25">
      <c r="B11" s="20"/>
      <c r="C11" s="20"/>
      <c r="D11" s="20"/>
      <c r="E11" s="20" t="s">
        <v>63</v>
      </c>
      <c r="F11" s="20">
        <v>2020</v>
      </c>
      <c r="G11" s="20" t="s">
        <v>64</v>
      </c>
      <c r="H11" s="20"/>
      <c r="I11" s="25">
        <f>I10*1.05</f>
        <v>310.8</v>
      </c>
      <c r="J11" s="20"/>
      <c r="K11" s="20"/>
      <c r="L11" s="20"/>
      <c r="M11" s="20"/>
      <c r="N11" s="20"/>
      <c r="O11" s="23"/>
      <c r="P11" s="21"/>
      <c r="Q11" s="39"/>
      <c r="R11" s="20"/>
    </row>
    <row r="12" spans="2:18" ht="12.9" customHeight="1" x14ac:dyDescent="0.25">
      <c r="B12" s="20"/>
      <c r="C12" s="20"/>
      <c r="D12" s="20"/>
      <c r="E12" s="20" t="s">
        <v>63</v>
      </c>
      <c r="F12" s="20">
        <v>2035</v>
      </c>
      <c r="G12" s="6" t="s">
        <v>64</v>
      </c>
      <c r="H12" s="20"/>
      <c r="I12" s="25">
        <f>I11*1.05</f>
        <v>326.34000000000003</v>
      </c>
      <c r="J12" s="20"/>
      <c r="K12" s="20"/>
      <c r="L12" s="20"/>
      <c r="M12" s="20"/>
      <c r="N12" s="20"/>
      <c r="O12" s="23"/>
      <c r="P12" s="21"/>
      <c r="Q12" s="39"/>
      <c r="R12" s="20"/>
    </row>
    <row r="13" spans="2:18" ht="12.9" customHeight="1" x14ac:dyDescent="0.25">
      <c r="B13" s="6" t="str">
        <f>LEFT(E13,4)&amp;RIGHT(D13,3)&amp;"1N"</f>
        <v>TPCGSL1N</v>
      </c>
      <c r="C13" s="6" t="s">
        <v>75</v>
      </c>
      <c r="D13" s="6" t="s">
        <v>76</v>
      </c>
      <c r="E13" s="6" t="s">
        <v>63</v>
      </c>
      <c r="F13" s="6">
        <v>2015</v>
      </c>
      <c r="G13" s="20" t="s">
        <v>64</v>
      </c>
      <c r="H13" s="6">
        <v>2015</v>
      </c>
      <c r="I13" s="41">
        <v>391.7</v>
      </c>
      <c r="J13" s="6"/>
      <c r="K13" s="6"/>
      <c r="L13" s="6">
        <v>12</v>
      </c>
      <c r="M13" s="25">
        <v>19.381025999999999</v>
      </c>
      <c r="N13" s="24">
        <v>4.655E-5</v>
      </c>
      <c r="O13" s="23">
        <v>15373</v>
      </c>
      <c r="P13" s="21">
        <v>1.55</v>
      </c>
      <c r="Q13" s="39">
        <v>1E-3</v>
      </c>
      <c r="R13" s="6"/>
    </row>
    <row r="14" spans="2:18" ht="12.9" customHeight="1" x14ac:dyDescent="0.25">
      <c r="B14" s="6"/>
      <c r="C14" s="6"/>
      <c r="D14" s="6"/>
      <c r="E14" s="6" t="s">
        <v>63</v>
      </c>
      <c r="F14" s="20">
        <v>2020</v>
      </c>
      <c r="G14" s="6" t="s">
        <v>64</v>
      </c>
      <c r="H14" s="6"/>
      <c r="I14" s="41">
        <f>I13*1.05</f>
        <v>411.28500000000003</v>
      </c>
      <c r="J14" s="6"/>
      <c r="K14" s="6"/>
      <c r="L14" s="6"/>
      <c r="M14" s="25">
        <f>M13-2%*M13</f>
        <v>18.99340548</v>
      </c>
      <c r="N14" s="20"/>
      <c r="O14" s="23"/>
      <c r="P14" s="21"/>
      <c r="Q14" s="39"/>
      <c r="R14" s="6"/>
    </row>
    <row r="15" spans="2:18" ht="12.9" customHeight="1" x14ac:dyDescent="0.25">
      <c r="B15" s="6"/>
      <c r="C15" s="6"/>
      <c r="D15" s="6"/>
      <c r="E15" s="6" t="s">
        <v>63</v>
      </c>
      <c r="F15" s="20">
        <v>2035</v>
      </c>
      <c r="G15" s="20" t="s">
        <v>64</v>
      </c>
      <c r="H15" s="6"/>
      <c r="I15" s="41">
        <f>I14*1.05</f>
        <v>431.84925000000004</v>
      </c>
      <c r="J15" s="6"/>
      <c r="K15" s="6"/>
      <c r="L15" s="6"/>
      <c r="M15" s="25">
        <f>M14*0.99</f>
        <v>18.803471425199998</v>
      </c>
      <c r="N15" s="20"/>
      <c r="O15" s="23"/>
      <c r="P15" s="21"/>
      <c r="Q15" s="40"/>
      <c r="R15" s="6"/>
    </row>
    <row r="16" spans="2:18" ht="12.9" customHeight="1" x14ac:dyDescent="0.25">
      <c r="B16" s="26" t="str">
        <f>LEFT(E16,3)&amp;RIGHT(D16,3)&amp;"1N"</f>
        <v>TPRELC1N</v>
      </c>
      <c r="C16" s="26" t="s">
        <v>81</v>
      </c>
      <c r="D16" s="26" t="s">
        <v>79</v>
      </c>
      <c r="E16" s="26" t="s">
        <v>80</v>
      </c>
      <c r="F16" s="26">
        <v>2015</v>
      </c>
      <c r="G16" s="26" t="s">
        <v>64</v>
      </c>
      <c r="H16" s="26">
        <v>2015</v>
      </c>
      <c r="I16" s="42">
        <v>28.1</v>
      </c>
      <c r="J16" s="26"/>
      <c r="K16" s="26"/>
      <c r="L16" s="26">
        <v>30</v>
      </c>
      <c r="M16" s="42">
        <v>7155</v>
      </c>
      <c r="N16" s="28">
        <v>3.8969E-3</v>
      </c>
      <c r="O16" s="26">
        <v>145000</v>
      </c>
      <c r="P16" s="27">
        <v>74.358394573205203</v>
      </c>
      <c r="Q16" s="39">
        <v>1E-3</v>
      </c>
      <c r="R16" s="26"/>
    </row>
    <row r="17" spans="2:18" ht="12.9" customHeight="1" x14ac:dyDescent="0.25">
      <c r="B17" s="20"/>
      <c r="C17" s="20"/>
      <c r="D17" s="20"/>
      <c r="E17" s="20" t="s">
        <v>80</v>
      </c>
      <c r="F17" s="20">
        <v>2020</v>
      </c>
      <c r="G17" s="6" t="s">
        <v>64</v>
      </c>
      <c r="H17" s="20"/>
      <c r="I17" s="25">
        <f>1.04*I16</f>
        <v>29.224000000000004</v>
      </c>
      <c r="J17" s="20"/>
      <c r="K17" s="20"/>
      <c r="L17" s="20"/>
      <c r="M17" s="21"/>
      <c r="N17" s="24"/>
      <c r="O17" s="20"/>
      <c r="P17" s="21"/>
      <c r="Q17" s="39"/>
      <c r="R17" s="20"/>
    </row>
    <row r="18" spans="2:18" ht="12.9" customHeight="1" x14ac:dyDescent="0.25">
      <c r="B18" s="20"/>
      <c r="C18" s="20"/>
      <c r="D18" s="20"/>
      <c r="E18" s="20" t="s">
        <v>80</v>
      </c>
      <c r="F18" s="20">
        <v>2035</v>
      </c>
      <c r="G18" s="20" t="s">
        <v>64</v>
      </c>
      <c r="H18" s="20"/>
      <c r="I18" s="25">
        <f>1.16*I16</f>
        <v>32.595999999999997</v>
      </c>
      <c r="J18" s="20"/>
      <c r="K18" s="20"/>
      <c r="L18" s="20"/>
      <c r="M18" s="21"/>
      <c r="N18" s="24"/>
      <c r="O18" s="20"/>
      <c r="P18" s="21"/>
      <c r="Q18" s="39"/>
      <c r="R18" s="20"/>
    </row>
    <row r="19" spans="2:18" ht="12.9" customHeight="1" x14ac:dyDescent="0.25">
      <c r="B19" s="44" t="s">
        <v>83</v>
      </c>
      <c r="C19" s="44" t="s">
        <v>90</v>
      </c>
      <c r="D19" s="44" t="s">
        <v>76</v>
      </c>
      <c r="E19" s="44" t="s">
        <v>63</v>
      </c>
      <c r="F19" s="44">
        <v>2015</v>
      </c>
      <c r="G19" s="44" t="s">
        <v>64</v>
      </c>
      <c r="H19" s="44">
        <v>2015</v>
      </c>
      <c r="I19" s="45">
        <f>I13*1.4</f>
        <v>548.38</v>
      </c>
      <c r="J19" s="44"/>
      <c r="K19" s="44"/>
      <c r="L19" s="44">
        <v>12</v>
      </c>
      <c r="M19" s="45">
        <f>117457.08419914*1.4*0.135*0.001</f>
        <v>22.199388913637456</v>
      </c>
      <c r="N19" s="46">
        <f>0.00035*0.135</f>
        <v>4.7250000000000003E-5</v>
      </c>
      <c r="O19" s="44">
        <v>15373</v>
      </c>
      <c r="P19" s="44">
        <v>1.55</v>
      </c>
      <c r="Q19" s="47">
        <v>1E-3</v>
      </c>
      <c r="R19" s="44"/>
    </row>
    <row r="20" spans="2:18" ht="12.9" customHeight="1" x14ac:dyDescent="0.25">
      <c r="B20" s="48"/>
      <c r="C20" s="48"/>
      <c r="D20" s="48"/>
      <c r="E20" s="48" t="s">
        <v>63</v>
      </c>
      <c r="F20" s="48">
        <v>2020</v>
      </c>
      <c r="G20" s="48" t="s">
        <v>64</v>
      </c>
      <c r="H20" s="48"/>
      <c r="I20" s="49">
        <f>I19*1.02</f>
        <v>559.34760000000006</v>
      </c>
      <c r="J20" s="48"/>
      <c r="K20" s="48"/>
      <c r="L20" s="48">
        <v>12</v>
      </c>
      <c r="M20" s="49">
        <f>M19*0.98</f>
        <v>21.755401135364707</v>
      </c>
      <c r="N20" s="48"/>
      <c r="O20" s="48"/>
      <c r="P20" s="48"/>
      <c r="Q20" s="39"/>
      <c r="R20" s="48"/>
    </row>
    <row r="21" spans="2:18" ht="12.9" customHeight="1" x14ac:dyDescent="0.25">
      <c r="B21" s="48"/>
      <c r="C21" s="48"/>
      <c r="D21" s="48"/>
      <c r="E21" s="48" t="s">
        <v>63</v>
      </c>
      <c r="F21" s="48">
        <v>2035</v>
      </c>
      <c r="G21" s="48" t="s">
        <v>64</v>
      </c>
      <c r="H21" s="48"/>
      <c r="I21" s="49">
        <f>I20*1.05</f>
        <v>587.31498000000011</v>
      </c>
      <c r="J21" s="48"/>
      <c r="K21" s="48"/>
      <c r="L21" s="48">
        <v>12</v>
      </c>
      <c r="M21" s="49">
        <f>M20*0.95</f>
        <v>20.667631078596472</v>
      </c>
      <c r="N21" s="48"/>
      <c r="O21" s="48"/>
      <c r="P21" s="48"/>
      <c r="Q21" s="39"/>
      <c r="R21" s="48"/>
    </row>
    <row r="22" spans="2:18" ht="12.9" customHeight="1" x14ac:dyDescent="0.25">
      <c r="B22" s="48" t="s">
        <v>82</v>
      </c>
      <c r="C22" s="48" t="s">
        <v>91</v>
      </c>
      <c r="D22" s="48" t="s">
        <v>79</v>
      </c>
      <c r="E22" s="48" t="s">
        <v>63</v>
      </c>
      <c r="F22" s="48">
        <v>2015</v>
      </c>
      <c r="G22" s="48" t="s">
        <v>64</v>
      </c>
      <c r="H22" s="48">
        <v>2015</v>
      </c>
      <c r="I22" s="49">
        <v>1388.9</v>
      </c>
      <c r="J22" s="48"/>
      <c r="K22" s="48"/>
      <c r="L22" s="48">
        <v>12</v>
      </c>
      <c r="M22" s="49">
        <f>201102.626184114*0.135*0.001</f>
        <v>27.148854534855392</v>
      </c>
      <c r="N22" s="50">
        <v>1.0395E-5</v>
      </c>
      <c r="O22" s="48">
        <v>14000</v>
      </c>
      <c r="P22" s="48">
        <v>1.55</v>
      </c>
      <c r="Q22" s="39">
        <v>1E-3</v>
      </c>
      <c r="R22" s="48"/>
    </row>
    <row r="23" spans="2:18" ht="12.9" customHeight="1" x14ac:dyDescent="0.25">
      <c r="B23" s="48"/>
      <c r="C23" s="48"/>
      <c r="D23" s="48"/>
      <c r="E23" s="48" t="s">
        <v>63</v>
      </c>
      <c r="F23" s="48">
        <v>2020</v>
      </c>
      <c r="G23" s="48" t="s">
        <v>64</v>
      </c>
      <c r="H23" s="48"/>
      <c r="I23" s="49">
        <f>1.05*I22</f>
        <v>1458.3450000000003</v>
      </c>
      <c r="J23" s="48"/>
      <c r="K23" s="48"/>
      <c r="L23" s="48">
        <v>12</v>
      </c>
      <c r="M23" s="49">
        <f>0.88*M22</f>
        <v>23.890991990672745</v>
      </c>
      <c r="N23" s="48"/>
      <c r="O23" s="48"/>
      <c r="P23" s="48"/>
      <c r="Q23" s="39"/>
      <c r="R23" s="48"/>
    </row>
    <row r="24" spans="2:18" ht="12.9" customHeight="1" x14ac:dyDescent="0.25">
      <c r="B24" s="48"/>
      <c r="C24" s="48"/>
      <c r="D24" s="48"/>
      <c r="E24" s="48" t="s">
        <v>63</v>
      </c>
      <c r="F24" s="48">
        <v>2035</v>
      </c>
      <c r="G24" s="48" t="s">
        <v>64</v>
      </c>
      <c r="H24" s="48"/>
      <c r="I24" s="49">
        <f>I23*1.07</f>
        <v>1560.4291500000004</v>
      </c>
      <c r="J24" s="48"/>
      <c r="K24" s="48"/>
      <c r="L24" s="48">
        <v>12</v>
      </c>
      <c r="M24" s="49">
        <f>M23*0.9</f>
        <v>21.501892791605471</v>
      </c>
      <c r="N24" s="48"/>
      <c r="O24" s="48"/>
      <c r="P24" s="48"/>
      <c r="Q24" s="39"/>
      <c r="R24" s="48"/>
    </row>
    <row r="25" spans="2:18" ht="12.9" customHeight="1" x14ac:dyDescent="0.25">
      <c r="B25" s="48" t="s">
        <v>84</v>
      </c>
      <c r="C25" s="48" t="s">
        <v>92</v>
      </c>
      <c r="D25" s="48" t="s">
        <v>79</v>
      </c>
      <c r="E25" s="48" t="s">
        <v>63</v>
      </c>
      <c r="F25" s="48">
        <v>2015</v>
      </c>
      <c r="G25" s="48" t="s">
        <v>64</v>
      </c>
      <c r="H25" s="48">
        <v>2015</v>
      </c>
      <c r="I25" s="48"/>
      <c r="J25" s="48">
        <v>1388.9</v>
      </c>
      <c r="K25" s="48">
        <v>0.55000000000000004</v>
      </c>
      <c r="L25" s="48">
        <v>12</v>
      </c>
      <c r="M25" s="49">
        <f>222122.65452346*0.135/1000</f>
        <v>29.986558360667104</v>
      </c>
      <c r="N25" s="51">
        <v>2.1999999999999999E-5</v>
      </c>
      <c r="O25" s="48">
        <v>15373</v>
      </c>
      <c r="P25" s="48">
        <v>1.55</v>
      </c>
      <c r="Q25" s="39">
        <v>1E-3</v>
      </c>
      <c r="R25" s="48">
        <v>5</v>
      </c>
    </row>
    <row r="26" spans="2:18" ht="12.9" customHeight="1" x14ac:dyDescent="0.25">
      <c r="B26" s="48"/>
      <c r="C26" s="48"/>
      <c r="D26" s="48" t="s">
        <v>76</v>
      </c>
      <c r="E26" s="48" t="s">
        <v>63</v>
      </c>
      <c r="F26" s="48">
        <v>2015</v>
      </c>
      <c r="G26" s="48" t="s">
        <v>64</v>
      </c>
      <c r="H26" s="48"/>
      <c r="I26" s="48"/>
      <c r="J26" s="49">
        <v>392.98999999999995</v>
      </c>
      <c r="K26" s="48">
        <v>0.44999999999999996</v>
      </c>
      <c r="L26" s="48"/>
      <c r="M26" s="48"/>
      <c r="N26" s="48"/>
      <c r="O26" s="48"/>
      <c r="P26" s="48"/>
      <c r="Q26" s="39"/>
      <c r="R26" s="48">
        <v>5</v>
      </c>
    </row>
    <row r="27" spans="2:18" ht="12.9" customHeight="1" x14ac:dyDescent="0.25">
      <c r="B27" s="48"/>
      <c r="C27" s="48"/>
      <c r="D27" s="48"/>
      <c r="E27" s="48" t="s">
        <v>63</v>
      </c>
      <c r="F27" s="48">
        <v>2020</v>
      </c>
      <c r="G27" s="48" t="s">
        <v>64</v>
      </c>
      <c r="H27" s="48"/>
      <c r="I27" s="48"/>
      <c r="J27" s="48"/>
      <c r="K27" s="48"/>
      <c r="L27" s="48"/>
      <c r="M27" s="49">
        <f>0.88*M25</f>
        <v>26.388171357387051</v>
      </c>
      <c r="N27" s="48"/>
      <c r="O27" s="48"/>
      <c r="P27" s="48"/>
      <c r="Q27" s="39"/>
      <c r="R27" s="48"/>
    </row>
    <row r="28" spans="2:18" ht="12.9" customHeight="1" x14ac:dyDescent="0.25">
      <c r="B28" s="48"/>
      <c r="C28" s="48"/>
      <c r="D28" s="48"/>
      <c r="E28" s="48" t="s">
        <v>63</v>
      </c>
      <c r="F28" s="48">
        <v>2035</v>
      </c>
      <c r="G28" s="48" t="s">
        <v>64</v>
      </c>
      <c r="H28" s="48"/>
      <c r="I28" s="48"/>
      <c r="J28" s="48"/>
      <c r="K28" s="48"/>
      <c r="L28" s="48"/>
      <c r="M28" s="49">
        <f>0.9*M27</f>
        <v>23.749354221648346</v>
      </c>
      <c r="N28" s="48"/>
      <c r="O28" s="48"/>
      <c r="P28" s="48"/>
      <c r="Q28" s="39"/>
      <c r="R28" s="48"/>
    </row>
    <row r="32" spans="2:18" x14ac:dyDescent="0.25">
      <c r="B32" s="29" t="s">
        <v>6</v>
      </c>
      <c r="C32" s="30"/>
      <c r="D32" s="30"/>
      <c r="E32" s="30"/>
      <c r="F32" s="30"/>
      <c r="G32" s="30"/>
      <c r="H32" s="30"/>
      <c r="I32" s="30"/>
    </row>
    <row r="33" spans="2:9" x14ac:dyDescent="0.25">
      <c r="B33" s="31" t="s">
        <v>7</v>
      </c>
      <c r="C33" s="31" t="s">
        <v>5</v>
      </c>
      <c r="D33" s="31" t="s">
        <v>8</v>
      </c>
      <c r="E33" s="32" t="s">
        <v>9</v>
      </c>
      <c r="F33" s="32" t="s">
        <v>10</v>
      </c>
      <c r="G33" s="32" t="s">
        <v>11</v>
      </c>
      <c r="H33" s="32" t="s">
        <v>12</v>
      </c>
      <c r="I33" s="32" t="s">
        <v>13</v>
      </c>
    </row>
    <row r="34" spans="2:9" ht="40.200000000000003" thickBot="1" x14ac:dyDescent="0.3">
      <c r="B34" s="33" t="s">
        <v>23</v>
      </c>
      <c r="C34" s="33" t="s">
        <v>24</v>
      </c>
      <c r="D34" s="33" t="s">
        <v>25</v>
      </c>
      <c r="E34" s="33" t="s">
        <v>9</v>
      </c>
      <c r="F34" s="33" t="s">
        <v>26</v>
      </c>
      <c r="G34" s="33" t="s">
        <v>27</v>
      </c>
      <c r="H34" s="33" t="s">
        <v>28</v>
      </c>
      <c r="I34" s="33" t="s">
        <v>29</v>
      </c>
    </row>
    <row r="35" spans="2:9" x14ac:dyDescent="0.25">
      <c r="B35" s="6"/>
      <c r="C35" s="6"/>
      <c r="D35" s="6"/>
      <c r="E35" s="6"/>
      <c r="F35" s="6"/>
      <c r="G35" s="6"/>
      <c r="H35" s="6"/>
      <c r="I35" s="6"/>
    </row>
    <row r="39" spans="2:9" x14ac:dyDescent="0.25">
      <c r="B39" s="29" t="s">
        <v>17</v>
      </c>
      <c r="C39" s="29"/>
      <c r="D39" s="34"/>
      <c r="E39" s="34"/>
      <c r="F39" s="34"/>
      <c r="G39" s="34"/>
      <c r="H39" s="34"/>
      <c r="I39" s="34"/>
    </row>
    <row r="40" spans="2:9" x14ac:dyDescent="0.25">
      <c r="B40" s="35" t="s">
        <v>14</v>
      </c>
      <c r="C40" s="35" t="s">
        <v>1</v>
      </c>
      <c r="D40" s="35" t="s">
        <v>2</v>
      </c>
      <c r="E40" s="35" t="s">
        <v>18</v>
      </c>
      <c r="F40" s="35" t="s">
        <v>19</v>
      </c>
      <c r="G40" s="35" t="s">
        <v>20</v>
      </c>
      <c r="H40" s="35" t="s">
        <v>21</v>
      </c>
      <c r="I40" s="35" t="s">
        <v>22</v>
      </c>
    </row>
    <row r="41" spans="2:9" ht="66.599999999999994" thickBot="1" x14ac:dyDescent="0.3">
      <c r="B41" s="36" t="s">
        <v>30</v>
      </c>
      <c r="C41" s="36" t="s">
        <v>31</v>
      </c>
      <c r="D41" s="36" t="s">
        <v>32</v>
      </c>
      <c r="E41" s="36" t="s">
        <v>33</v>
      </c>
      <c r="F41" s="36" t="s">
        <v>34</v>
      </c>
      <c r="G41" s="36" t="s">
        <v>35</v>
      </c>
      <c r="H41" s="36" t="s">
        <v>36</v>
      </c>
      <c r="I41" s="36" t="s">
        <v>37</v>
      </c>
    </row>
    <row r="42" spans="2:9" x14ac:dyDescent="0.25">
      <c r="B42" s="37" t="s">
        <v>66</v>
      </c>
      <c r="C42" s="37" t="str">
        <f>B10</f>
        <v>TPCDSL1N</v>
      </c>
      <c r="D42" s="37" t="str">
        <f>C10</f>
        <v>Transport Passengers Car - Diesel Engine - New</v>
      </c>
      <c r="E42" s="37" t="s">
        <v>89</v>
      </c>
      <c r="F42" s="37" t="s">
        <v>65</v>
      </c>
      <c r="G42" s="37"/>
      <c r="H42" s="37"/>
      <c r="I42" s="37" t="s">
        <v>68</v>
      </c>
    </row>
    <row r="43" spans="2:9" x14ac:dyDescent="0.25">
      <c r="B43" s="37"/>
      <c r="C43" s="37" t="s">
        <v>77</v>
      </c>
      <c r="D43" s="37" t="s">
        <v>75</v>
      </c>
      <c r="E43" s="37" t="s">
        <v>89</v>
      </c>
      <c r="F43" s="37" t="s">
        <v>65</v>
      </c>
      <c r="G43" s="37"/>
      <c r="H43" s="37"/>
      <c r="I43" s="37" t="s">
        <v>68</v>
      </c>
    </row>
    <row r="44" spans="2:9" x14ac:dyDescent="0.25">
      <c r="B44" s="37"/>
      <c r="C44" s="37" t="str">
        <f>B16</f>
        <v>TPRELC1N</v>
      </c>
      <c r="D44" s="37" t="s">
        <v>81</v>
      </c>
      <c r="E44" s="37" t="s">
        <v>89</v>
      </c>
      <c r="F44" s="37" t="s">
        <v>65</v>
      </c>
      <c r="G44" s="37"/>
      <c r="H44" s="37"/>
      <c r="I44" s="37" t="s">
        <v>68</v>
      </c>
    </row>
    <row r="45" spans="2:9" x14ac:dyDescent="0.25">
      <c r="B45" s="37"/>
      <c r="C45" s="37" t="str">
        <f>B19</f>
        <v>TPCGSLH1N</v>
      </c>
      <c r="D45" s="37" t="str">
        <f>C19</f>
        <v>Transport Passengers Car -Hybrid Gasoline Engine - New</v>
      </c>
      <c r="E45" s="37" t="s">
        <v>89</v>
      </c>
      <c r="F45" s="37" t="s">
        <v>65</v>
      </c>
      <c r="G45" s="37"/>
      <c r="H45" s="37"/>
      <c r="I45" s="37" t="s">
        <v>68</v>
      </c>
    </row>
    <row r="46" spans="2:9" x14ac:dyDescent="0.25">
      <c r="B46" s="37"/>
      <c r="C46" s="37" t="str">
        <f>B22</f>
        <v>TPCELC1N</v>
      </c>
      <c r="D46" s="37" t="str">
        <f>C22</f>
        <v>Transport Passengers Car - Battery Electric Vehicle - New</v>
      </c>
      <c r="E46" s="37" t="s">
        <v>89</v>
      </c>
      <c r="F46" s="37" t="s">
        <v>65</v>
      </c>
      <c r="G46" s="37"/>
      <c r="H46" s="37"/>
      <c r="I46" s="37" t="s">
        <v>68</v>
      </c>
    </row>
    <row r="47" spans="2:9" x14ac:dyDescent="0.25">
      <c r="B47" s="37"/>
      <c r="C47" s="37" t="str">
        <f>B25</f>
        <v>TPCELCH1N</v>
      </c>
      <c r="D47" s="37" t="str">
        <f>C25</f>
        <v>Transport Passengers Car - Plug-in Hybrid Electric Vehicle - New</v>
      </c>
      <c r="E47" s="37" t="s">
        <v>89</v>
      </c>
      <c r="F47" s="37" t="s">
        <v>65</v>
      </c>
      <c r="G47" s="37"/>
      <c r="H47" s="37"/>
      <c r="I47" s="37" t="s">
        <v>68</v>
      </c>
    </row>
    <row r="50" spans="2:6" ht="12.75" customHeight="1" x14ac:dyDescent="0.25">
      <c r="B50" s="5" t="s">
        <v>16</v>
      </c>
      <c r="C50" s="7"/>
      <c r="D50" s="3"/>
      <c r="E50" s="3"/>
      <c r="F50" s="3"/>
    </row>
    <row r="51" spans="2:6" x14ac:dyDescent="0.25">
      <c r="B51" s="8" t="s">
        <v>5</v>
      </c>
      <c r="C51" s="9" t="s">
        <v>38</v>
      </c>
    </row>
    <row r="52" spans="2:6" ht="13.8" thickBot="1" x14ac:dyDescent="0.3">
      <c r="B52" s="10" t="s">
        <v>39</v>
      </c>
      <c r="C52" s="10"/>
    </row>
    <row r="53" spans="2:6" x14ac:dyDescent="0.25">
      <c r="B53" s="11"/>
      <c r="C53" s="11"/>
    </row>
    <row r="54" spans="2:6" x14ac:dyDescent="0.25">
      <c r="B54" s="3"/>
      <c r="C54" s="3"/>
      <c r="D54" s="3"/>
      <c r="E54" s="3"/>
      <c r="F54" s="3"/>
    </row>
    <row r="55" spans="2:6" x14ac:dyDescent="0.25">
      <c r="B55" s="3"/>
      <c r="C55" s="3"/>
      <c r="D55" s="3"/>
      <c r="E55" s="3"/>
      <c r="F55" s="3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TRA_Passenger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2017-12-29T22:22:21Z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471870064735412</vt:r8>
  </property>
</Properties>
</file>